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0" windowWidth="1980" windowHeight="11760" tabRatio="697" firstSheet="1" activeTab="4"/>
  </bookViews>
  <sheets>
    <sheet name="Összegzés exportálása" sheetId="1" state="hidden" r:id="rId1"/>
    <sheet name="Leírás" sheetId="2" r:id="rId2"/>
    <sheet name="Nevezés" sheetId="3" r:id="rId3"/>
    <sheet name="Eredmény" sheetId="4" r:id="rId4"/>
    <sheet name="Kimutatások" sheetId="5" r:id="rId5"/>
    <sheet name="Helyezések" sheetId="6" r:id="rId6"/>
    <sheet name="Problémák" sheetId="7" r:id="rId7"/>
    <sheet name="Szt_Dönt" sheetId="8" r:id="rId8"/>
    <sheet name="Szt_Szer" sheetId="9" r:id="rId9"/>
    <sheet name="Szt_Kombi" sheetId="10" r:id="rId10"/>
    <sheet name="Szt_Lánck" sheetId="11" r:id="rId11"/>
    <sheet name="Szt_Gally" sheetId="12" r:id="rId12"/>
    <sheet name="Döntés" sheetId="13" r:id="rId13"/>
    <sheet name="Szerelés" sheetId="14" r:id="rId14"/>
    <sheet name="Kombinált" sheetId="15" r:id="rId15"/>
    <sheet name="Lánckímélő" sheetId="16" r:id="rId16"/>
    <sheet name="Gallyazás" sheetId="17" r:id="rId17"/>
  </sheets>
  <definedNames/>
  <calcPr fullCalcOnLoad="1"/>
</workbook>
</file>

<file path=xl/sharedStrings.xml><?xml version="1.0" encoding="utf-8"?>
<sst xmlns="http://schemas.openxmlformats.org/spreadsheetml/2006/main" count="1712" uniqueCount="678">
  <si>
    <t>Ez a dokumentum a Numbers alkalmazásból lett exportálva. Minden táblázat Excel-munkalappá lett alakítva. Az egyes Numbers-munkalapokon található egyéb objektumok külön munkalapokra lettek helyezve. Felhívjuk rá a figyelmét, hogy a képletszámítások az Excelben másfélék lehetnek.</t>
  </si>
  <si>
    <t>Numbers-munkalap neve</t>
  </si>
  <si>
    <t>Numbers-táblázat neve</t>
  </si>
  <si>
    <t>Excel-munkalap neve</t>
  </si>
  <si>
    <t>Leírás</t>
  </si>
  <si>
    <t>1. táblázat</t>
  </si>
  <si>
    <t>Tisztelt Felhasználó!</t>
  </si>
  <si>
    <t>A táblázat a "Hagyományos" fakitermelő versenyek kiértékelését hivatott támogatni (a 2017. évi Katasztrófavédelemi versenyre aktualizáltan).</t>
  </si>
  <si>
    <t>Az egyes versenyszámok pontozólapjai beképletezetten lettek elhelyezve, amelyet főként a gyors ellenőrzésre célszerű felhasználni. (Szt. = számolótábla)</t>
  </si>
  <si>
    <t>A megfelelő cellákba beírt időeredmények, ill. hiba db számok, igen (i)/nem (n)  esetén a tábla számítja az elért eredményeket.</t>
  </si>
  <si>
    <r>
      <rPr>
        <sz val="12"/>
        <color indexed="8"/>
        <rFont val="Arial"/>
        <family val="0"/>
      </rPr>
      <t>Döntés, Szerelés, Kombinált darabolás, Lánckímélő darabolás, Gallyazás versenyszámok             (</t>
    </r>
    <r>
      <rPr>
        <sz val="12"/>
        <color indexed="16"/>
        <rFont val="Arial"/>
        <family val="0"/>
      </rPr>
      <t>Nyomtatható jegyzőkönyvek</t>
    </r>
    <r>
      <rPr>
        <sz val="12"/>
        <color indexed="8"/>
        <rFont val="Arial"/>
        <family val="0"/>
      </rPr>
      <t>)</t>
    </r>
  </si>
  <si>
    <r>
      <rPr>
        <sz val="11"/>
        <color indexed="8"/>
        <rFont val="Arial"/>
        <family val="0"/>
      </rPr>
      <t xml:space="preserve">A </t>
    </r>
    <r>
      <rPr>
        <b/>
        <sz val="11"/>
        <color indexed="8"/>
        <rFont val="Arial"/>
        <family val="0"/>
      </rPr>
      <t>Nevezés</t>
    </r>
    <r>
      <rPr>
        <sz val="11"/>
        <color indexed="8"/>
        <rFont val="Arial"/>
        <family val="0"/>
      </rPr>
      <t xml:space="preserve"> munkalapra a versenyző csapatok és személyek adatait kell bejegyezni (</t>
    </r>
    <r>
      <rPr>
        <sz val="11"/>
        <color indexed="16"/>
        <rFont val="Arial"/>
        <family val="0"/>
      </rPr>
      <t>A jelenlegi mintaadatok törlendők</t>
    </r>
    <r>
      <rPr>
        <sz val="11"/>
        <color indexed="8"/>
        <rFont val="Arial"/>
        <family val="0"/>
      </rPr>
      <t>)</t>
    </r>
  </si>
  <si>
    <t>CSAK A SÁRGA MEZŐBE SZABAD ÍRNI!</t>
  </si>
  <si>
    <t>A kihúzott rajtszámot a csapatok első sorába kell beütni, a többit a képletek kitölti.</t>
  </si>
  <si>
    <t>A karszalagra az azonosító számát kell feltüntetni.</t>
  </si>
  <si>
    <t>A csapatvezetőt célszerű a csapaton belül az első helyre bejegyezni.</t>
  </si>
  <si>
    <t>A személyi adatok megadása a későbbi adminisztrációs feladatokat gyorsítja</t>
  </si>
  <si>
    <r>
      <rPr>
        <sz val="12"/>
        <color indexed="8"/>
        <rFont val="Arial"/>
        <family val="0"/>
      </rPr>
      <t xml:space="preserve">Az </t>
    </r>
    <r>
      <rPr>
        <b/>
        <sz val="11"/>
        <color indexed="8"/>
        <rFont val="Arial"/>
        <family val="0"/>
      </rPr>
      <t>Eredmény</t>
    </r>
    <r>
      <rPr>
        <sz val="12"/>
        <color indexed="8"/>
        <rFont val="Arial"/>
        <family val="0"/>
      </rPr>
      <t xml:space="preserve"> munkalapra kell bejegyezni a versenyszámokban elért pontszámokat, sárga mezők (</t>
    </r>
    <r>
      <rPr>
        <sz val="10"/>
        <color indexed="16"/>
        <rFont val="Arial"/>
        <family val="0"/>
      </rPr>
      <t>A jelenlegi mintaadatok törlendők</t>
    </r>
    <r>
      <rPr>
        <sz val="12"/>
        <color indexed="8"/>
        <rFont val="Arial"/>
        <family val="0"/>
      </rPr>
      <t>)</t>
    </r>
  </si>
  <si>
    <t>Az elért pontszámokat illetve hibapontokat az F-P oszlopokba kell bejegyezni.</t>
  </si>
  <si>
    <t xml:space="preserve">A bejegyzések és a versenyszabályzatban megadottak alapján az R-AF oszlopokban láthatóak az eredmény értékelésbe bevonandó értékek, és az aktuális helyezések.  </t>
  </si>
  <si>
    <t>Ez a munkalap a Nevezés lapról veszi át a csapatok és a versenyzők adatait! - Az eredmények rögítésekor már tehát az alapadatokhoz visszanyúlni következmények nélkül nem lehet!</t>
  </si>
  <si>
    <t>Amennyiben egy versenyző "0" pontot ért el, az Eredmények táblába a megfelelő helyre "0,1"-et kell bejegyezni ahhoz, hogy a további kimutatások megfelelően működjenek.</t>
  </si>
  <si>
    <t>Kimutatások</t>
  </si>
  <si>
    <t>Kimutatás</t>
  </si>
  <si>
    <t>Az egyéni összesített és a csapatverseny eredményeinek a sorrendet adja meg</t>
  </si>
  <si>
    <t>GY</t>
  </si>
  <si>
    <t>Az gyakorlati versenyszám eredményeit és a sorrendet adja meg</t>
  </si>
  <si>
    <t>SZ</t>
  </si>
  <si>
    <t>A szerelés versenyszám egyéni eredményeinek kiértékelésére szolgál és a sorrendet adja meg</t>
  </si>
  <si>
    <t>D</t>
  </si>
  <si>
    <t>A döntési versenyszám egyéni eredményeinek kiértékelésére szolgál és a sorrendet adja meg</t>
  </si>
  <si>
    <r>
      <rPr>
        <b/>
        <sz val="11"/>
        <color indexed="8"/>
        <rFont val="Arial"/>
        <family val="0"/>
      </rPr>
      <t>Helyezések</t>
    </r>
    <r>
      <rPr>
        <sz val="11"/>
        <color indexed="8"/>
        <rFont val="Arial"/>
        <family val="0"/>
      </rPr>
      <t xml:space="preserve"> munkalapra kézzel kell átmásolni az adatokat, az eredményeknek megfelelő helyekre.</t>
    </r>
  </si>
  <si>
    <t>Figyelem holtverseny esetén a SORRENDET ellenőrízni kell a versenyszabályzatban írtak alapján!! (pl.: 1, 2, 2, 4, 5, 6, 6, 6, 9,…)</t>
  </si>
  <si>
    <t>Figyelem a kimutatásokat a helyes eredményekhez FRISSÍTENI kell !!!</t>
  </si>
  <si>
    <t>Az eredmények rögzítése és kiértékelése nyugodt környezetet és pontos munkára képes, higgadt, feszültségtűrő személyeket igényel ! (Egy ember nem elég!!!)</t>
  </si>
  <si>
    <t>Sorrend pontegyenlőség  esetén:</t>
  </si>
  <si>
    <t>Csapat:</t>
  </si>
  <si>
    <t>1. Kevesebb büntetőpont.</t>
  </si>
  <si>
    <t>Egyéni összetett:</t>
  </si>
  <si>
    <t xml:space="preserve">1. Kevesebb büntetőpont,     2. Jobb eredmény a fadőntésben.    </t>
  </si>
  <si>
    <t>Döntés:</t>
  </si>
  <si>
    <t>1. Döntési pontosság,           2. Jobb időeredmény.</t>
  </si>
  <si>
    <t>Szerelés:</t>
  </si>
  <si>
    <t>1. Kevesebb büntetőpont,     2. Jobb időeredmény.</t>
  </si>
  <si>
    <t>Kombinált darabolás:</t>
  </si>
  <si>
    <t>1, Kisebb lépcső,                   2. Jobb időeredmény.</t>
  </si>
  <si>
    <t>Lánckímélő darabolás:</t>
  </si>
  <si>
    <t>1. Kisebb átvágatlan rész,     2. Jobb időeredmény.</t>
  </si>
  <si>
    <t>Gallyazás:</t>
  </si>
  <si>
    <t>1. Kevesebb büntetőpont,      2. Jobb időeredmény.</t>
  </si>
  <si>
    <t>Nevezés</t>
  </si>
  <si>
    <t>Sorszám</t>
  </si>
  <si>
    <t>Rajtszám</t>
  </si>
  <si>
    <t>Azonositó</t>
  </si>
  <si>
    <t>Szervezet neve</t>
  </si>
  <si>
    <t>Csapat neve</t>
  </si>
  <si>
    <t>Sorrend</t>
  </si>
  <si>
    <t>Név</t>
  </si>
  <si>
    <t>Baja HTP</t>
  </si>
  <si>
    <t>Döntősök</t>
  </si>
  <si>
    <t>Nagy István</t>
  </si>
  <si>
    <t>Husti Krisztián</t>
  </si>
  <si>
    <t>Benák János</t>
  </si>
  <si>
    <t>Gyulavári Gergely</t>
  </si>
  <si>
    <t>Kecskemét HTP</t>
  </si>
  <si>
    <t>András Attila</t>
  </si>
  <si>
    <t>Kaszap Ferenc</t>
  </si>
  <si>
    <t>Székely Csaba</t>
  </si>
  <si>
    <t>Barcs HTP</t>
  </si>
  <si>
    <t>Vidák Balázs</t>
  </si>
  <si>
    <t>Werkman Norbert</t>
  </si>
  <si>
    <t>Káló Norbert</t>
  </si>
  <si>
    <t>XIX. kerületi HTP</t>
  </si>
  <si>
    <t>Kispesti Tűzes Hódok</t>
  </si>
  <si>
    <t>Soltész Péter</t>
  </si>
  <si>
    <t>Csongrád MKI</t>
  </si>
  <si>
    <t>Scheinpfulg József</t>
  </si>
  <si>
    <t>Rácz Csaba</t>
  </si>
  <si>
    <t>Joó Rudolf</t>
  </si>
  <si>
    <t>Nagy Zoltán</t>
  </si>
  <si>
    <t>Hajdúnánási HTP</t>
  </si>
  <si>
    <t>Szemán Péter</t>
  </si>
  <si>
    <t>Csuja Gábor</t>
  </si>
  <si>
    <t>Nagy Sándor</t>
  </si>
  <si>
    <t>Gyöngyös HTP</t>
  </si>
  <si>
    <t>Gyöngyösi Fanyűvők</t>
  </si>
  <si>
    <t>Lukács Béla</t>
  </si>
  <si>
    <t>Toldi Balázs</t>
  </si>
  <si>
    <t>Nagy Mihály</t>
  </si>
  <si>
    <t>Egri HTP</t>
  </si>
  <si>
    <t>Epstein Imre</t>
  </si>
  <si>
    <t>Vincze Zsolt</t>
  </si>
  <si>
    <t>Barna Lajos</t>
  </si>
  <si>
    <t>Bak Sándor</t>
  </si>
  <si>
    <t>Mosonmagyaróvár HTP</t>
  </si>
  <si>
    <t>Móvár</t>
  </si>
  <si>
    <t>Ásványi Péter</t>
  </si>
  <si>
    <t>Derzsi Tamás</t>
  </si>
  <si>
    <t>Kézdi Gábor</t>
  </si>
  <si>
    <t>Németh Gábor</t>
  </si>
  <si>
    <t>Pétfürdő HTP</t>
  </si>
  <si>
    <t>Bakonyi rettenet</t>
  </si>
  <si>
    <t>Sántha András</t>
  </si>
  <si>
    <t>Rotter László</t>
  </si>
  <si>
    <t>Somogyi Attila</t>
  </si>
  <si>
    <t>Veszprém HTP</t>
  </si>
  <si>
    <t>Veszprémi favágók</t>
  </si>
  <si>
    <t>Frunza Octavian</t>
  </si>
  <si>
    <t>Ringhoffer Zoltán</t>
  </si>
  <si>
    <t>Encs HTP</t>
  </si>
  <si>
    <t>Encsi Tűzoltóság</t>
  </si>
  <si>
    <t>Kmetz Szabolcs</t>
  </si>
  <si>
    <t>Lukács Zsolt András</t>
  </si>
  <si>
    <t>Hudák Péter</t>
  </si>
  <si>
    <t>Jaczenkó Krisztián</t>
  </si>
  <si>
    <t>Mátészalka HTP</t>
  </si>
  <si>
    <t>Mátészalka</t>
  </si>
  <si>
    <t>Bicskó Csaba</t>
  </si>
  <si>
    <t>Jurkinya Sándor</t>
  </si>
  <si>
    <t>Horváth Tibor</t>
  </si>
  <si>
    <t>Antal Zoltán</t>
  </si>
  <si>
    <t>Miskolc HTP</t>
  </si>
  <si>
    <t>Miskolci Tűzoltók</t>
  </si>
  <si>
    <t>Alberti Tamás</t>
  </si>
  <si>
    <t>Pankotai Zoltán Lajos</t>
  </si>
  <si>
    <t>Csati Szabolcs</t>
  </si>
  <si>
    <t>Rózsa Béla</t>
  </si>
  <si>
    <t>Tiszafüred HTP</t>
  </si>
  <si>
    <t>Tiszafüredi Duó</t>
  </si>
  <si>
    <t>Nagy Balázs</t>
  </si>
  <si>
    <t>Koncz Miklós</t>
  </si>
  <si>
    <t>Kiskunhalas HTP</t>
  </si>
  <si>
    <t>Halasi tűzoltók</t>
  </si>
  <si>
    <t>Hegedős Tibor</t>
  </si>
  <si>
    <t>Krivai Sándor</t>
  </si>
  <si>
    <t>Csernák Zsolt</t>
  </si>
  <si>
    <t>Eredmény</t>
  </si>
  <si>
    <t>ADAT BEVÍTEL</t>
  </si>
  <si>
    <t>ÉRTÉKELÉS</t>
  </si>
  <si>
    <t>Csapat</t>
  </si>
  <si>
    <t>Egyéni</t>
  </si>
  <si>
    <t>Azonosító</t>
  </si>
  <si>
    <t>Döntés</t>
  </si>
  <si>
    <t>Hibapont</t>
  </si>
  <si>
    <t>Szerelés</t>
  </si>
  <si>
    <t>Kombi-nált</t>
  </si>
  <si>
    <t>Lánc-kímélő</t>
  </si>
  <si>
    <t>Gallyazás</t>
  </si>
  <si>
    <t>Összes Hibapont</t>
  </si>
  <si>
    <t>Helyezés</t>
  </si>
  <si>
    <t>Egyéni össz</t>
  </si>
  <si>
    <t>Csapat össz</t>
  </si>
  <si>
    <t>Csapat össz hiba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</si>
  <si>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</si>
  <si>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</si>
  <si>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</si>
  <si>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</si>
  <si>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</si>
  <si>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</si>
  <si>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</si>
  <si>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</si>
  <si>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</si>
  <si>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</si>
  <si>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</si>
  <si>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</si>
  <si>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</si>
  <si>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</si>
  <si>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</si>
  <si>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</si>
  <si>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</si>
  <si>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</si>
  <si>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</si>
  <si>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</si>
  <si>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</si>
  <si>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</si>
  <si>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CSAPAT ERDMÉNY</t>
  </si>
  <si>
    <t>EGYÉNI ÖSSZETETT</t>
  </si>
  <si>
    <t>ADATOK</t>
  </si>
  <si>
    <t>HELYEZÉS</t>
  </si>
  <si>
    <t>Hibapontok</t>
  </si>
  <si>
    <t>Azonósító</t>
  </si>
  <si>
    <t xml:space="preserve"> ÖSSZPONT</t>
  </si>
  <si>
    <t xml:space="preserve"> ÖSSZETETT</t>
  </si>
  <si>
    <t>Nevek</t>
  </si>
  <si>
    <t>Helyezések</t>
  </si>
  <si>
    <t>V. Országos Tűzoltó Favágóverseny 2017</t>
  </si>
  <si>
    <t>V. Országos Tűzoltó Favágóverseny 2017 - STIHL különdíjak</t>
  </si>
  <si>
    <t>V. Országos Tűzoltó Favágóverseny 2017 - Husqvarna különdíjak</t>
  </si>
  <si>
    <r>
      <rPr>
        <b/>
        <sz val="12"/>
        <color indexed="8"/>
        <rFont val="Arial"/>
        <family val="0"/>
      </rPr>
      <t xml:space="preserve">Döntés </t>
    </r>
    <r>
      <rPr>
        <sz val="12"/>
        <color indexed="8"/>
        <rFont val="Arial"/>
        <family val="0"/>
      </rPr>
      <t>(egyéni)</t>
    </r>
  </si>
  <si>
    <r>
      <rPr>
        <sz val="10"/>
        <color indexed="8"/>
        <rFont val="Arial"/>
        <family val="0"/>
      </rPr>
      <t xml:space="preserve">A </t>
    </r>
    <r>
      <rPr>
        <b/>
        <sz val="10"/>
        <color indexed="8"/>
        <rFont val="Arial"/>
        <family val="0"/>
      </rPr>
      <t>legkevesebb hibapont</t>
    </r>
    <r>
      <rPr>
        <sz val="10"/>
        <color indexed="8"/>
        <rFont val="Arial"/>
        <family val="0"/>
      </rPr>
      <t>ot elérő csapat</t>
    </r>
  </si>
  <si>
    <t>1. helyezett:</t>
  </si>
  <si>
    <t>kihívni</t>
  </si>
  <si>
    <t>pont</t>
  </si>
  <si>
    <t>vásárlási utalvány 4 x …0.000,- Ft értékben</t>
  </si>
  <si>
    <t>2. helyezett:</t>
  </si>
  <si>
    <t>mondani</t>
  </si>
  <si>
    <t>3. helyezett:</t>
  </si>
  <si>
    <t>……………... hibaponttal</t>
  </si>
  <si>
    <r>
      <rPr>
        <b/>
        <sz val="12"/>
        <color indexed="8"/>
        <rFont val="Arial"/>
        <family val="0"/>
      </rPr>
      <t>Szerelés</t>
    </r>
    <r>
      <rPr>
        <sz val="12"/>
        <color indexed="8"/>
        <rFont val="Arial"/>
        <family val="0"/>
      </rPr>
      <t xml:space="preserve"> (egyéni) </t>
    </r>
  </si>
  <si>
    <r>
      <rPr>
        <sz val="10"/>
        <color indexed="8"/>
        <rFont val="Arial"/>
        <family val="0"/>
      </rPr>
      <t>A</t>
    </r>
    <r>
      <rPr>
        <b/>
        <sz val="10"/>
        <color indexed="8"/>
        <rFont val="Arial"/>
        <family val="0"/>
      </rPr>
      <t xml:space="preserve"> legjobb időeredményű csapat </t>
    </r>
  </si>
  <si>
    <t>……………… idővel</t>
  </si>
  <si>
    <r>
      <rPr>
        <b/>
        <sz val="12"/>
        <color indexed="8"/>
        <rFont val="Arial"/>
        <family val="0"/>
      </rPr>
      <t>Kombinált darabolás (</t>
    </r>
    <r>
      <rPr>
        <sz val="12"/>
        <color indexed="8"/>
        <rFont val="Arial"/>
        <family val="0"/>
      </rPr>
      <t xml:space="preserve">egyéni) </t>
    </r>
  </si>
  <si>
    <r>
      <rPr>
        <sz val="10"/>
        <color indexed="8"/>
        <rFont val="Arial"/>
        <family val="0"/>
      </rPr>
      <t xml:space="preserve">A </t>
    </r>
    <r>
      <rPr>
        <b/>
        <sz val="10"/>
        <color indexed="8"/>
        <rFont val="Arial"/>
        <family val="0"/>
      </rPr>
      <t>legnagyobb döntési pontosság</t>
    </r>
    <r>
      <rPr>
        <sz val="10"/>
        <color indexed="8"/>
        <rFont val="Arial"/>
        <family val="0"/>
      </rPr>
      <t>ot elért versenyző</t>
    </r>
  </si>
  <si>
    <t>vásárlási utalvány …0.000,- Ft értékben</t>
  </si>
  <si>
    <t>……………….. pontossággal</t>
  </si>
  <si>
    <r>
      <rPr>
        <b/>
        <sz val="12"/>
        <color indexed="8"/>
        <rFont val="Arial"/>
        <family val="0"/>
      </rPr>
      <t>Lánckímélő darabolás (</t>
    </r>
    <r>
      <rPr>
        <sz val="12"/>
        <color indexed="8"/>
        <rFont val="Arial"/>
        <family val="0"/>
      </rPr>
      <t xml:space="preserve">egyéni) </t>
    </r>
  </si>
  <si>
    <r>
      <rPr>
        <sz val="10"/>
        <color indexed="8"/>
        <rFont val="Arial"/>
        <family val="0"/>
      </rPr>
      <t xml:space="preserve">A </t>
    </r>
    <r>
      <rPr>
        <b/>
        <sz val="10"/>
        <color indexed="8"/>
        <rFont val="Arial"/>
        <family val="0"/>
      </rPr>
      <t xml:space="preserve">leggyorsabb döntési időt </t>
    </r>
    <r>
      <rPr>
        <sz val="10"/>
        <color indexed="8"/>
        <rFont val="Arial"/>
        <family val="0"/>
      </rPr>
      <t>elért versenyző</t>
    </r>
  </si>
  <si>
    <t>……………….. Időeredménnyel</t>
  </si>
  <si>
    <r>
      <rPr>
        <b/>
        <sz val="12"/>
        <color indexed="8"/>
        <rFont val="Arial"/>
        <family val="0"/>
      </rPr>
      <t>Gallyazás</t>
    </r>
    <r>
      <rPr>
        <sz val="12"/>
        <color indexed="8"/>
        <rFont val="Arial"/>
        <family val="0"/>
      </rPr>
      <t xml:space="preserve"> (egyéni) </t>
    </r>
  </si>
  <si>
    <t>Csapatverseny</t>
  </si>
  <si>
    <t>4. helyezett:</t>
  </si>
  <si>
    <t>5. helyezett:</t>
  </si>
  <si>
    <t>6. helyezett:</t>
  </si>
  <si>
    <r>
      <rPr>
        <sz val="10"/>
        <color indexed="8"/>
        <rFont val="Arial"/>
        <family val="0"/>
      </rPr>
      <t>A legeredményesebb ................</t>
    </r>
    <r>
      <rPr>
        <b/>
        <sz val="10"/>
        <color indexed="8"/>
        <rFont val="Arial"/>
        <family val="0"/>
      </rPr>
      <t xml:space="preserve"> megyei </t>
    </r>
    <r>
      <rPr>
        <sz val="10"/>
        <color indexed="8"/>
        <rFont val="Arial"/>
        <family val="0"/>
      </rPr>
      <t>csapat</t>
    </r>
  </si>
  <si>
    <t>… 1-3. helyezett indulási lehetőséget szerez 2017-es Husqvarna országos fakitermelő versenyre</t>
  </si>
  <si>
    <t>(Időpont: 2017. Május 30.   Helyszín: Miskolc-Fónayaság)</t>
  </si>
  <si>
    <t>Problémák</t>
  </si>
  <si>
    <t>Szt_Dönt</t>
  </si>
  <si>
    <t>DÖNTÉS</t>
  </si>
  <si>
    <t>29-39 cm mellmagassági átmérőjű oszlop döntése</t>
  </si>
  <si>
    <t>Rajtszám:</t>
  </si>
  <si>
    <t>Versenyző neve:</t>
  </si>
  <si>
    <t>Elért pontszám</t>
  </si>
  <si>
    <t xml:space="preserve"> =</t>
  </si>
  <si>
    <t>Pont</t>
  </si>
  <si>
    <t>Megnevezés</t>
  </si>
  <si>
    <t>Optimális érték</t>
  </si>
  <si>
    <t>Mért eredmény</t>
  </si>
  <si>
    <t>Elértpont</t>
  </si>
  <si>
    <t>Végrehajtási idő*</t>
  </si>
  <si>
    <t>min</t>
  </si>
  <si>
    <t>Döntési pontosság</t>
  </si>
  <si>
    <t>0</t>
  </si>
  <si>
    <t>cm</t>
  </si>
  <si>
    <t>Hajkmélység</t>
  </si>
  <si>
    <t>7-12</t>
  </si>
  <si>
    <t>Hajkszög</t>
  </si>
  <si>
    <t>45-55</t>
  </si>
  <si>
    <t>fok</t>
  </si>
  <si>
    <t>Törési léc</t>
  </si>
  <si>
    <t xml:space="preserve">min. </t>
  </si>
  <si>
    <t>25-35</t>
  </si>
  <si>
    <t>mm</t>
  </si>
  <si>
    <t>max.</t>
  </si>
  <si>
    <t>Törési lépcső</t>
  </si>
  <si>
    <t>20-35</t>
  </si>
  <si>
    <t>Magas tuskó</t>
  </si>
  <si>
    <t>Igen/nem</t>
  </si>
  <si>
    <t>igen</t>
  </si>
  <si>
    <t>nem</t>
  </si>
  <si>
    <t>Felhasadás (és 2 cm-enként -1)</t>
  </si>
  <si>
    <t>&lt; 6</t>
  </si>
  <si>
    <t>Hívás nélkül megjelenés</t>
  </si>
  <si>
    <t>Fűrész nem indul be (5 perc)</t>
  </si>
  <si>
    <t>beindul</t>
  </si>
  <si>
    <t>Helytelen fűrészindítás</t>
  </si>
  <si>
    <t>db</t>
  </si>
  <si>
    <t>Korai start</t>
  </si>
  <si>
    <t>Nem megengedett jelölés</t>
  </si>
  <si>
    <t>Helytelen eltávolodás</t>
  </si>
  <si>
    <t>Védőfelszerelés nélküli munka</t>
  </si>
  <si>
    <t>Lánc kézzel érintése járó motornál</t>
  </si>
  <si>
    <t>Helyváltoztatás járó lánccal</t>
  </si>
  <si>
    <t>Egykezezés járó láncnál</t>
  </si>
  <si>
    <t>Orvost nem igénylő sérülés</t>
  </si>
  <si>
    <t>Orvost igénylő sérülés</t>
  </si>
  <si>
    <t>Összesítések:</t>
  </si>
  <si>
    <t>Összpontszám:</t>
  </si>
  <si>
    <t>* 3 perc felett -1/sec.</t>
  </si>
  <si>
    <t>°</t>
  </si>
  <si>
    <t>39</t>
  </si>
  <si>
    <t>60</t>
  </si>
  <si>
    <t>50</t>
  </si>
  <si>
    <t>40</t>
  </si>
  <si>
    <t>30</t>
  </si>
  <si>
    <t>61</t>
  </si>
  <si>
    <t>47</t>
  </si>
  <si>
    <t>Szt_Szer</t>
  </si>
  <si>
    <t>SZERELÉS</t>
  </si>
  <si>
    <t>Motorfűrész vágószerkezet cseréje</t>
  </si>
  <si>
    <t>Opt. érték</t>
  </si>
  <si>
    <t>100≤</t>
  </si>
  <si>
    <t>Végrehajtási idő</t>
  </si>
  <si>
    <t>sec</t>
  </si>
  <si>
    <t>-50</t>
  </si>
  <si>
    <t>Lemezfordítás elmaradása</t>
  </si>
  <si>
    <t>Igen</t>
  </si>
  <si>
    <t>Nem</t>
  </si>
  <si>
    <t>Hiányos visszaszerelés</t>
  </si>
  <si>
    <t>-20</t>
  </si>
  <si>
    <t>Lánc v. anya földre esése</t>
  </si>
  <si>
    <t>Helytelen láncfeszesség</t>
  </si>
  <si>
    <t>Fordítva felhelyezett lánc*</t>
  </si>
  <si>
    <t>Láncleesés v. megszorulás darabolásnál</t>
  </si>
  <si>
    <t>* A versenyző, figyelmeztetés után megfordíthatja a láncot!</t>
  </si>
  <si>
    <t>Szt_Kombi</t>
  </si>
  <si>
    <t>KOMBINÁLT DARABOLÁS</t>
  </si>
  <si>
    <t>szöge</t>
  </si>
  <si>
    <t>Lépcső</t>
  </si>
  <si>
    <t>Koronglevágás 7°-kal lejtő ill. 7°-kal emelkedő, 35 cm-es rönkökről</t>
  </si>
  <si>
    <t>Lökettérfogat 56 cm3-nél kisebb Igen/nem:</t>
  </si>
  <si>
    <t>50≤</t>
  </si>
  <si>
    <t>Eltérés a merőlegestől   1. rönk</t>
  </si>
  <si>
    <t>≤ 1</t>
  </si>
  <si>
    <t>Vágások találkozása     1. rönk</t>
  </si>
  <si>
    <t>Eltérés a merőlegestől   2. rönk</t>
  </si>
  <si>
    <t>Vágások találkozása     2. rönk</t>
  </si>
  <si>
    <t>Fölévágás</t>
  </si>
  <si>
    <t>Fölső vágás helytelen indítása</t>
  </si>
  <si>
    <t>Alávágás</t>
  </si>
  <si>
    <t>1 cm-nél mélyebb bevágás</t>
  </si>
  <si>
    <t>0/db</t>
  </si>
  <si>
    <t>Korong nem esett le</t>
  </si>
  <si>
    <t>Helytelen korongvastagság</t>
  </si>
  <si>
    <t>*</t>
  </si>
  <si>
    <t>Lánc leesett v. megszorult</t>
  </si>
  <si>
    <t>200≤</t>
  </si>
  <si>
    <t>* Ha a lánc leesett vagy megszorult, a versenyző visszateheti, de 0 pontot kap a szerelésre.</t>
  </si>
  <si>
    <r>
      <rPr>
        <sz val="8"/>
        <color indexed="8"/>
        <rFont val="Arial CE"/>
        <family val="0"/>
      </rPr>
      <t>56 cm</t>
    </r>
    <r>
      <rPr>
        <vertAlign val="superscript"/>
        <sz val="8"/>
        <color indexed="8"/>
        <rFont val="Arial CE"/>
        <family val="0"/>
      </rPr>
      <t>3</t>
    </r>
    <r>
      <rPr>
        <sz val="8"/>
        <color indexed="8"/>
        <rFont val="Arial CE"/>
        <family val="0"/>
      </rPr>
      <t>-nél kisebb fűrésznél:+3 pont.</t>
    </r>
  </si>
  <si>
    <t>Szt_Lánck</t>
  </si>
  <si>
    <t>LÁNCKÍMÉLŐ DARABOLÁS</t>
  </si>
  <si>
    <t>Koronglevágás egymással párhuzamosan fekvő, 35 cm-es rönkökről</t>
  </si>
  <si>
    <t>Átvágatlan rész</t>
  </si>
  <si>
    <t>≤ 1,0</t>
  </si>
  <si>
    <t>Átvágatlan rész              1. rönk</t>
  </si>
  <si>
    <t>**</t>
  </si>
  <si>
    <t>Padlózás                        1. rönk</t>
  </si>
  <si>
    <t>Átvágatlan rész              2. rönk</t>
  </si>
  <si>
    <t>Padlózás                        2. rönk</t>
  </si>
  <si>
    <t>Stopperátlépés</t>
  </si>
  <si>
    <t>Fűrészpor eltávolítása</t>
  </si>
  <si>
    <t>250≤</t>
  </si>
  <si>
    <t>** Padlózás esetén a versenyző 0 pontot kap az átvágatlan részre.</t>
  </si>
  <si>
    <t>Szt_Gally</t>
  </si>
  <si>
    <t>GALLYAZÁS</t>
  </si>
  <si>
    <t>30 db ág levágása hengermart törzsről</t>
  </si>
  <si>
    <t>Gallyazás végrehajtása</t>
  </si>
  <si>
    <t>OK</t>
  </si>
  <si>
    <t>ok</t>
  </si>
  <si>
    <t>Levágatlan ág</t>
  </si>
  <si>
    <t>5 mm-nél hosszabb ágcsonk</t>
  </si>
  <si>
    <t>5 mm-nél mélyebb bevágás</t>
  </si>
  <si>
    <t>35 cm-nél hosszabb törzssérülés</t>
  </si>
  <si>
    <t>Ágeldobás kézzel, járó láncnál</t>
  </si>
  <si>
    <t>összesíések:</t>
  </si>
  <si>
    <t>400≤</t>
  </si>
  <si>
    <r>
      <rPr>
        <b/>
        <sz val="14"/>
        <color indexed="8"/>
        <rFont val="Arial"/>
        <family val="0"/>
      </rPr>
      <t xml:space="preserve">DÖNTÉS                                                                                                </t>
    </r>
    <r>
      <rPr>
        <b/>
        <sz val="10"/>
        <color indexed="8"/>
        <rFont val="Arial"/>
        <family val="0"/>
      </rPr>
      <t xml:space="preserve"> </t>
    </r>
    <r>
      <rPr>
        <sz val="10"/>
        <color indexed="8"/>
        <rFont val="Arial"/>
        <family val="0"/>
      </rPr>
      <t>29-39 cm mellmagassági átmérőjű oszlop döntése</t>
    </r>
  </si>
  <si>
    <t>Géptípusa:</t>
  </si>
  <si>
    <t>Köbcenti:</t>
  </si>
  <si>
    <t>Hibapokont</t>
  </si>
  <si>
    <t>Elértpontok</t>
  </si>
  <si>
    <t>----</t>
  </si>
  <si>
    <t>min.</t>
  </si>
  <si>
    <t>&lt; 6 cm</t>
  </si>
  <si>
    <t>7 - 12</t>
  </si>
  <si>
    <t>25 - 35</t>
  </si>
  <si>
    <t>20 - 35</t>
  </si>
  <si>
    <t>≤3</t>
  </si>
  <si>
    <t>16≤</t>
  </si>
  <si>
    <t>≤8</t>
  </si>
  <si>
    <t>47≤</t>
  </si>
  <si>
    <t>45 - 55</t>
  </si>
  <si>
    <t>≤10</t>
  </si>
  <si>
    <t>…</t>
  </si>
  <si>
    <t>≤39</t>
  </si>
  <si>
    <t>61≤</t>
  </si>
  <si>
    <r>
      <rPr>
        <b/>
        <sz val="16"/>
        <color indexed="8"/>
        <rFont val="Arial"/>
        <family val="0"/>
      </rPr>
      <t>SZERELÉS</t>
    </r>
    <r>
      <rPr>
        <b/>
        <sz val="14"/>
        <color indexed="8"/>
        <rFont val="Arial"/>
        <family val="0"/>
      </rPr>
      <t xml:space="preserve">                                                                                    </t>
    </r>
    <r>
      <rPr>
        <sz val="10"/>
        <color indexed="8"/>
        <rFont val="Arial"/>
        <family val="0"/>
      </rPr>
      <t xml:space="preserve">Motorfűrész vágószerkezet cseréje </t>
    </r>
    <r>
      <rPr>
        <b/>
        <sz val="14"/>
        <color indexed="8"/>
        <rFont val="Arial"/>
        <family val="0"/>
      </rPr>
      <t xml:space="preserve">     </t>
    </r>
  </si>
  <si>
    <t>Hiba pontok</t>
  </si>
  <si>
    <t>Elért pontok</t>
  </si>
  <si>
    <t>-----</t>
  </si>
  <si>
    <t>18,1 - 18,5</t>
  </si>
  <si>
    <t>30,6 - 31,0</t>
  </si>
  <si>
    <t>43,1 - 43,5</t>
  </si>
  <si>
    <t>55,6 - 56,0</t>
  </si>
  <si>
    <t>18,6 - 19,0</t>
  </si>
  <si>
    <t>31,1 - 31,5</t>
  </si>
  <si>
    <t>43,6 - 44,0</t>
  </si>
  <si>
    <t>56,1 - 56,5</t>
  </si>
  <si>
    <t>19,1 - 19,5</t>
  </si>
  <si>
    <t>31,6 - 32,0</t>
  </si>
  <si>
    <t>44,1 - 44,5</t>
  </si>
  <si>
    <t>56,6 - 57,0</t>
  </si>
  <si>
    <t>7,1 - 7,5</t>
  </si>
  <si>
    <t>19,6 - 20,0</t>
  </si>
  <si>
    <t>32,1 - 32,5</t>
  </si>
  <si>
    <t>44,6 - 45,0</t>
  </si>
  <si>
    <t>57,1 - 57,5</t>
  </si>
  <si>
    <t>7,6 - 8,0</t>
  </si>
  <si>
    <t>20,1 - 20,5</t>
  </si>
  <si>
    <t>32,6 - 33,0</t>
  </si>
  <si>
    <t>45,1 - 45,5</t>
  </si>
  <si>
    <t>57,6 - 58,0</t>
  </si>
  <si>
    <t>8,1 - 8,5</t>
  </si>
  <si>
    <t>20,6 - 21,0</t>
  </si>
  <si>
    <t>33,1 - 33,5</t>
  </si>
  <si>
    <t>45,6 - 46,0</t>
  </si>
  <si>
    <t>58,1 - 58,5</t>
  </si>
  <si>
    <t>8,6 - 9,0</t>
  </si>
  <si>
    <t>21,1 - 21,5</t>
  </si>
  <si>
    <t>33,6 - 34,0</t>
  </si>
  <si>
    <t>46,1 - 46,5</t>
  </si>
  <si>
    <t>58,6 - 59,0</t>
  </si>
  <si>
    <t>9,1 - 9,5</t>
  </si>
  <si>
    <t>21,6 - 22,0</t>
  </si>
  <si>
    <t>34,1 - 34,5</t>
  </si>
  <si>
    <t>46,6 - 47,0</t>
  </si>
  <si>
    <t>59,1 - 59,5</t>
  </si>
  <si>
    <t>9,6 - 10,0</t>
  </si>
  <si>
    <t>22,1 - 22,5</t>
  </si>
  <si>
    <t>34,6 - 35,0</t>
  </si>
  <si>
    <t>47,1 - 47,5</t>
  </si>
  <si>
    <t>59,6 - 60,0</t>
  </si>
  <si>
    <t>10,1 - 10,5</t>
  </si>
  <si>
    <t>22,6 - 23,0</t>
  </si>
  <si>
    <t>35,1 - 35,5</t>
  </si>
  <si>
    <t>47,6 - 48,0</t>
  </si>
  <si>
    <t>60,1 - 60,5</t>
  </si>
  <si>
    <t>10,6 - 11,0</t>
  </si>
  <si>
    <t>23,1 - 23,5</t>
  </si>
  <si>
    <t>35,6 - 36,0</t>
  </si>
  <si>
    <t>48,1 - 48,5</t>
  </si>
  <si>
    <t>60,6 - 60,9</t>
  </si>
  <si>
    <t>11,1 - 11,5</t>
  </si>
  <si>
    <t>23,6 - 24,0</t>
  </si>
  <si>
    <t>36,1 - 36,5</t>
  </si>
  <si>
    <t>48,6 - 49,0</t>
  </si>
  <si>
    <t>61,0 - 61,5</t>
  </si>
  <si>
    <t>11,6 - 12,0</t>
  </si>
  <si>
    <t>24,1 - 24,5</t>
  </si>
  <si>
    <t>36,6 - 37,0</t>
  </si>
  <si>
    <t>49,1 - 49,5</t>
  </si>
  <si>
    <t>61,6 - 61,9</t>
  </si>
  <si>
    <t>12,1 - 12,5</t>
  </si>
  <si>
    <t>24,6 - 25,0</t>
  </si>
  <si>
    <t>37,1 - 37,5</t>
  </si>
  <si>
    <t>49,6 - 50,0</t>
  </si>
  <si>
    <t>62,0 - 62,5</t>
  </si>
  <si>
    <t>12,6 - 13,0</t>
  </si>
  <si>
    <t>25,1 - 25,5</t>
  </si>
  <si>
    <t>37,6 - 38,0</t>
  </si>
  <si>
    <t>50,1 - 50,5</t>
  </si>
  <si>
    <t>62,6 - 62,9</t>
  </si>
  <si>
    <t>13,1 - 13,5</t>
  </si>
  <si>
    <t>25,6 - 26,0</t>
  </si>
  <si>
    <t>38,1 - 38,5</t>
  </si>
  <si>
    <t>50,6 - 51,0</t>
  </si>
  <si>
    <t>63,0 - 63,5</t>
  </si>
  <si>
    <t>13,6 - 14,0</t>
  </si>
  <si>
    <t>26,1 - 26,5</t>
  </si>
  <si>
    <t>38,6 - 39,0</t>
  </si>
  <si>
    <t>51,1 - 51,5</t>
  </si>
  <si>
    <t>63,6 - 63,9</t>
  </si>
  <si>
    <t>14,1 - 14,5</t>
  </si>
  <si>
    <t>26,6 - 27,0</t>
  </si>
  <si>
    <t>39,1 - 39,5</t>
  </si>
  <si>
    <t>51,6 - 52,0</t>
  </si>
  <si>
    <t>64,0 - 64,5</t>
  </si>
  <si>
    <t>14,6 - 15,0</t>
  </si>
  <si>
    <t>27,1 - 27,5</t>
  </si>
  <si>
    <t>39,6 - 40,0</t>
  </si>
  <si>
    <t>52,1 - 52,5</t>
  </si>
  <si>
    <t>64,6 - 64,9</t>
  </si>
  <si>
    <t>15,1 - 15,5</t>
  </si>
  <si>
    <t>27,6 - 28,0</t>
  </si>
  <si>
    <t>40,1 - 40,5</t>
  </si>
  <si>
    <t>52,6 - 53,0</t>
  </si>
  <si>
    <t>65,0 - 65,5</t>
  </si>
  <si>
    <t>15,6 - 16,0</t>
  </si>
  <si>
    <t>28,1 - 28,5</t>
  </si>
  <si>
    <t>40,6 - 41,0</t>
  </si>
  <si>
    <t>53,1 - 53,5</t>
  </si>
  <si>
    <t>65,6 - 65,9</t>
  </si>
  <si>
    <t>16,1 - 16,5</t>
  </si>
  <si>
    <t>28,6 - 29,0</t>
  </si>
  <si>
    <t>41,1 - 41,5</t>
  </si>
  <si>
    <t>53,6 - 54,0</t>
  </si>
  <si>
    <t>66,0 - 66,5</t>
  </si>
  <si>
    <t>16,6 - 17,0</t>
  </si>
  <si>
    <t>29,1 - 29,5</t>
  </si>
  <si>
    <t>41,6 - 42,0</t>
  </si>
  <si>
    <t>54,1 - 54,5</t>
  </si>
  <si>
    <t>66,6 - 66,9</t>
  </si>
  <si>
    <t>17,1 - 17,5</t>
  </si>
  <si>
    <t>29,6 - 30,0</t>
  </si>
  <si>
    <t>42,1 - 42,5</t>
  </si>
  <si>
    <t>54,6 - 55,0</t>
  </si>
  <si>
    <t>67,0 - 67,5</t>
  </si>
  <si>
    <t>17,6 - 18,0</t>
  </si>
  <si>
    <t>30,1 - 30,5</t>
  </si>
  <si>
    <t>42,6 - 43,0</t>
  </si>
  <si>
    <t>55,1 - 55,5</t>
  </si>
  <si>
    <t>67,6 - 67,9</t>
  </si>
  <si>
    <t>68,0 -&lt;</t>
  </si>
  <si>
    <t>Kombinált</t>
  </si>
  <si>
    <r>
      <rPr>
        <b/>
        <sz val="16"/>
        <color indexed="8"/>
        <rFont val="Arial"/>
        <family val="0"/>
      </rPr>
      <t>KOMBINÁLT DARABOLÁS</t>
    </r>
    <r>
      <rPr>
        <b/>
        <sz val="14"/>
        <color indexed="8"/>
        <rFont val="Arial"/>
        <family val="0"/>
      </rPr>
      <t xml:space="preserve">                                                                                                           </t>
    </r>
    <r>
      <rPr>
        <sz val="10"/>
        <color indexed="8"/>
        <rFont val="Arial"/>
        <family val="0"/>
      </rPr>
      <t>Koronglevágás 7°-kal lejtő ill. 7°-kal emelkedő, 35 cm-es rönkökről</t>
    </r>
    <r>
      <rPr>
        <sz val="14"/>
        <color indexed="8"/>
        <rFont val="Arial"/>
        <family val="0"/>
      </rPr>
      <t xml:space="preserve"> </t>
    </r>
    <r>
      <rPr>
        <b/>
        <sz val="14"/>
        <color indexed="8"/>
        <rFont val="Arial"/>
        <family val="0"/>
      </rPr>
      <t xml:space="preserve">     </t>
    </r>
  </si>
  <si>
    <t>------</t>
  </si>
  <si>
    <t>Fűrész nem indul be (5 percen belül)</t>
  </si>
  <si>
    <r>
      <rPr>
        <sz val="9"/>
        <color indexed="8"/>
        <rFont val="Arial"/>
        <family val="0"/>
      </rPr>
      <t>56 cm</t>
    </r>
    <r>
      <rPr>
        <vertAlign val="superscript"/>
        <sz val="9"/>
        <color indexed="8"/>
        <rFont val="Arial"/>
        <family val="0"/>
      </rPr>
      <t>3</t>
    </r>
    <r>
      <rPr>
        <sz val="9"/>
        <color indexed="8"/>
        <rFont val="Arial"/>
        <family val="0"/>
      </rPr>
      <t>-nél kisebb fűrésznél:+3 pont.</t>
    </r>
  </si>
  <si>
    <t>Vágások</t>
  </si>
  <si>
    <t>Vágások szöge</t>
  </si>
  <si>
    <t>találkozása</t>
  </si>
  <si>
    <t>ill. eltérése a merőlegestől</t>
  </si>
  <si>
    <t>Fok, századfok</t>
  </si>
  <si>
    <t>fokok</t>
  </si>
  <si>
    <t>Pontok</t>
  </si>
  <si>
    <t>88,75-91,24</t>
  </si>
  <si>
    <t>88,25-88,74</t>
  </si>
  <si>
    <t>91,25-91,74</t>
  </si>
  <si>
    <t>87,75-88,24</t>
  </si>
  <si>
    <t>91,75-92,24</t>
  </si>
  <si>
    <t>87,25-87,74</t>
  </si>
  <si>
    <t>92,25-92,74</t>
  </si>
  <si>
    <t>86,75-87,24</t>
  </si>
  <si>
    <t>92,75-93,24</t>
  </si>
  <si>
    <t>86,25-86,74</t>
  </si>
  <si>
    <t>93,25-93,74</t>
  </si>
  <si>
    <t>85,75-86,24</t>
  </si>
  <si>
    <t>93,75-94,24</t>
  </si>
  <si>
    <t>85,25-85,74</t>
  </si>
  <si>
    <t>94,25-94,74</t>
  </si>
  <si>
    <t>84,75-85,24</t>
  </si>
  <si>
    <t>94,75-95,24</t>
  </si>
  <si>
    <t>84,25-84,74</t>
  </si>
  <si>
    <t>95,25-95,74</t>
  </si>
  <si>
    <t>≤ 84,24</t>
  </si>
  <si>
    <t>95,75≤</t>
  </si>
  <si>
    <t>15 ≤</t>
  </si>
  <si>
    <t>Lánckímélő</t>
  </si>
  <si>
    <r>
      <rPr>
        <b/>
        <sz val="16"/>
        <color indexed="8"/>
        <rFont val="Arial"/>
        <family val="0"/>
      </rPr>
      <t>LÁNCKÍMÉLŐ DARABOLÁS</t>
    </r>
    <r>
      <rPr>
        <b/>
        <sz val="14"/>
        <color indexed="8"/>
        <rFont val="Arial"/>
        <family val="0"/>
      </rPr>
      <t xml:space="preserve">                                                                                                           </t>
    </r>
    <r>
      <rPr>
        <sz val="10"/>
        <color indexed="8"/>
        <rFont val="Arial"/>
        <family val="0"/>
      </rPr>
      <t>Koronglevágás 7°-kal lejtő ill. 7°-kal emelkedő, 35 cm-es rönkökről</t>
    </r>
    <r>
      <rPr>
        <sz val="14"/>
        <color indexed="8"/>
        <rFont val="Arial"/>
        <family val="0"/>
      </rPr>
      <t xml:space="preserve"> </t>
    </r>
    <r>
      <rPr>
        <b/>
        <sz val="14"/>
        <color indexed="8"/>
        <rFont val="Arial"/>
        <family val="0"/>
      </rPr>
      <t xml:space="preserve">     </t>
    </r>
  </si>
  <si>
    <r>
      <rPr>
        <sz val="8"/>
        <color indexed="8"/>
        <rFont val="Arial"/>
        <family val="0"/>
      </rPr>
      <t>56 cm</t>
    </r>
    <r>
      <rPr>
        <vertAlign val="superscript"/>
        <sz val="8"/>
        <color indexed="8"/>
        <rFont val="Arial"/>
        <family val="0"/>
      </rPr>
      <t>3</t>
    </r>
    <r>
      <rPr>
        <sz val="8"/>
        <color indexed="8"/>
        <rFont val="Arial"/>
        <family val="0"/>
      </rPr>
      <t>-nél kisebb fűrésznél:+3 pont.</t>
    </r>
  </si>
  <si>
    <t>≤85,74</t>
  </si>
  <si>
    <t>94,25≤</t>
  </si>
  <si>
    <r>
      <rPr>
        <b/>
        <sz val="16"/>
        <color indexed="8"/>
        <rFont val="Arial"/>
        <family val="0"/>
      </rPr>
      <t>GALLYAZÁS</t>
    </r>
    <r>
      <rPr>
        <b/>
        <sz val="14"/>
        <color indexed="8"/>
        <rFont val="Arial"/>
        <family val="0"/>
      </rPr>
      <t xml:space="preserve">                                                                                        </t>
    </r>
    <r>
      <rPr>
        <sz val="10"/>
        <color indexed="8"/>
        <rFont val="Arial"/>
        <family val="0"/>
      </rPr>
      <t>30 db ág levágása hengermart törzsről</t>
    </r>
  </si>
  <si>
    <t>………</t>
  </si>
  <si>
    <t>26,0 - 26,4</t>
  </si>
  <si>
    <t>39,5 - 39,9</t>
  </si>
  <si>
    <t>53,0 - 53,4</t>
  </si>
  <si>
    <t>1.06,5 - 1.06,9</t>
  </si>
  <si>
    <t>13,0 - 13,4</t>
  </si>
  <si>
    <t>26,5 - 26,9</t>
  </si>
  <si>
    <t>40,0 - 40,4</t>
  </si>
  <si>
    <t>53,5 - 53,9</t>
  </si>
  <si>
    <t>1.07,0 - 1.07,4</t>
  </si>
  <si>
    <t>13,5 - 13,9</t>
  </si>
  <si>
    <t>27,0 - 27,4</t>
  </si>
  <si>
    <t>40,5 - 40,9</t>
  </si>
  <si>
    <t>54,0 - 54,4</t>
  </si>
  <si>
    <t>1.07,5 - 1.07,9</t>
  </si>
  <si>
    <t>14,0 - 14,4</t>
  </si>
  <si>
    <t>27,5 - 27,9</t>
  </si>
  <si>
    <t>41,0 - 41,4</t>
  </si>
  <si>
    <t>54,5 - 54,9</t>
  </si>
  <si>
    <t>1.08,0 - 1.08,4</t>
  </si>
  <si>
    <t>14,5 - 14,9</t>
  </si>
  <si>
    <t>28,0 - 28,4</t>
  </si>
  <si>
    <t>41,5 - 41,9</t>
  </si>
  <si>
    <t>55,0 - 55,4</t>
  </si>
  <si>
    <t>1.08,5 - 1.08,9</t>
  </si>
  <si>
    <t>15,0 - 15,4</t>
  </si>
  <si>
    <t>28,5 - 28,9</t>
  </si>
  <si>
    <t>42,0 - 42,4</t>
  </si>
  <si>
    <t>55,5 - 55,9</t>
  </si>
  <si>
    <t>1.09,0 - 1.09,4</t>
  </si>
  <si>
    <t>15,5 - 15,9</t>
  </si>
  <si>
    <t>29,0 - 29,4</t>
  </si>
  <si>
    <t>42,5 - 42,9</t>
  </si>
  <si>
    <t>56,0 - 56,4</t>
  </si>
  <si>
    <t>1.09,5 - 1.09,9</t>
  </si>
  <si>
    <t>16,0 - 16,4</t>
  </si>
  <si>
    <t>29,5 - 29,9</t>
  </si>
  <si>
    <t>43,0 - 43,4</t>
  </si>
  <si>
    <t>56,5 - 56,9</t>
  </si>
  <si>
    <t>1.10,0 - 1.10,4</t>
  </si>
  <si>
    <t>16,5 - 16,9</t>
  </si>
  <si>
    <t>30,0 - 30,4</t>
  </si>
  <si>
    <t>43,5 - 43,9</t>
  </si>
  <si>
    <t>57,0 - 57,4</t>
  </si>
  <si>
    <t>1.10,5 - 1.10,9</t>
  </si>
  <si>
    <t>17,0 - 17,4</t>
  </si>
  <si>
    <t>30,5 - 30,9</t>
  </si>
  <si>
    <t>44,0 - 44,4</t>
  </si>
  <si>
    <t>57,5 - 57,9</t>
  </si>
  <si>
    <t>1.11,0 - 1.11,4</t>
  </si>
  <si>
    <t>17,5 - 17,9</t>
  </si>
  <si>
    <t>31,0 - 31,4</t>
  </si>
  <si>
    <t>44,5 - 44,9</t>
  </si>
  <si>
    <t>58,0 - 58,4</t>
  </si>
  <si>
    <t>1.11,5 - 1.11,9</t>
  </si>
  <si>
    <t>18,0 - 18,4</t>
  </si>
  <si>
    <t>31,5 - 31,9</t>
  </si>
  <si>
    <t>45,0 - 45,4</t>
  </si>
  <si>
    <t>58,5 - 58,9</t>
  </si>
  <si>
    <t>1.12,0 - 1.12,4</t>
  </si>
  <si>
    <t>18,5 - 18,9</t>
  </si>
  <si>
    <t>32,0 - 32,4</t>
  </si>
  <si>
    <t>45,5 - 45,9</t>
  </si>
  <si>
    <t>59,0 - 59,4</t>
  </si>
  <si>
    <t>1.12,5 - 1.12,9</t>
  </si>
  <si>
    <t>19,0 - 19,4</t>
  </si>
  <si>
    <t>32,5 - 32,9</t>
  </si>
  <si>
    <t>46,0 - 46,4</t>
  </si>
  <si>
    <t>59,5 - 59,9</t>
  </si>
  <si>
    <t>1.13,0 - 1.13,4</t>
  </si>
  <si>
    <t>19,5 - 19,9</t>
  </si>
  <si>
    <t>33,0 - 33,4</t>
  </si>
  <si>
    <t>46,5 - 46,9</t>
  </si>
  <si>
    <t>1.00,0 - 1.00,4</t>
  </si>
  <si>
    <t>1.13,5 - 1.13,9</t>
  </si>
  <si>
    <t>20,0 - 20,4</t>
  </si>
  <si>
    <t>33,5 - 33,9</t>
  </si>
  <si>
    <t>47,0 - 47,4</t>
  </si>
  <si>
    <t>1.00,5 - 1.00,9</t>
  </si>
  <si>
    <t>1.14,0 - 1.14,4</t>
  </si>
  <si>
    <t>20,5 - 20,9</t>
  </si>
  <si>
    <t>34,0 - 34,4</t>
  </si>
  <si>
    <t>47,5 - 47,9</t>
  </si>
  <si>
    <t>1.01,0 - 1.01,4</t>
  </si>
  <si>
    <t>1.14,5 - 1.14,9</t>
  </si>
  <si>
    <t>21,0 - 21,4</t>
  </si>
  <si>
    <t>34,5 - 34,9</t>
  </si>
  <si>
    <t>48,0 - 48,4</t>
  </si>
  <si>
    <t>1.01,5 - 1.01,9</t>
  </si>
  <si>
    <t>1.15,0 - 1.15,4</t>
  </si>
  <si>
    <t>21,5 - 21,9</t>
  </si>
  <si>
    <t>35,0 - 35,4</t>
  </si>
  <si>
    <t>48,5 - 48,9</t>
  </si>
  <si>
    <t>1.02,0 - 1.02,4</t>
  </si>
  <si>
    <t>1.15,5 - 1.15,9</t>
  </si>
  <si>
    <t>22,0 - 22,4</t>
  </si>
  <si>
    <t>35,5 - 35,9</t>
  </si>
  <si>
    <t>49,0 - 49,4</t>
  </si>
  <si>
    <t>1.02,5 - 1.02,9</t>
  </si>
  <si>
    <t>1.16,0 - 1.16,4</t>
  </si>
  <si>
    <t>22,5 - 22,9</t>
  </si>
  <si>
    <t>36,0 - 36,4</t>
  </si>
  <si>
    <t>49,5 - 49,9</t>
  </si>
  <si>
    <t>1.03,0 - 1.03,4</t>
  </si>
  <si>
    <t>1.16,5 - 1.16,9</t>
  </si>
  <si>
    <t>23,0 - 23,4</t>
  </si>
  <si>
    <t>36,5 - 36,9</t>
  </si>
  <si>
    <t>50,0 - 50,4</t>
  </si>
  <si>
    <t>1.03.5 - 1.03,9</t>
  </si>
  <si>
    <t>1.17,0 - 1.17,4</t>
  </si>
  <si>
    <t>23,5 - 23,9</t>
  </si>
  <si>
    <t>37,0 - 37,4</t>
  </si>
  <si>
    <t>50,5 - 50,9</t>
  </si>
  <si>
    <t>1.04,0 - 1.04,4</t>
  </si>
  <si>
    <t>1.17,5 - 1.17,9</t>
  </si>
  <si>
    <t>24,0 - 24,4</t>
  </si>
  <si>
    <t>37,5 - 37,9</t>
  </si>
  <si>
    <t>51,0 - 51,4</t>
  </si>
  <si>
    <t>1.04,5 - 1.04,9</t>
  </si>
  <si>
    <t>1.18,0 - 1.18,4</t>
  </si>
  <si>
    <t>24,5 - 24,9</t>
  </si>
  <si>
    <t>38,0 - 38,4</t>
  </si>
  <si>
    <t>51,5 - 51,9</t>
  </si>
  <si>
    <t>1.05,0 - 1.05,4</t>
  </si>
  <si>
    <t>1.18,5 - 1.18,9</t>
  </si>
  <si>
    <t>25,0 - 25,4</t>
  </si>
  <si>
    <t>38,5 - 38,9</t>
  </si>
  <si>
    <t>52,0 - 52,4</t>
  </si>
  <si>
    <t>1.05,6 - 1.05,9</t>
  </si>
  <si>
    <t>1.19,0 - 1.19,4</t>
  </si>
  <si>
    <t>25,5 - 25,9</t>
  </si>
  <si>
    <t>39,0 - 39,4</t>
  </si>
  <si>
    <t>52,5 - 52,9</t>
  </si>
  <si>
    <t>1.06,0 - 1.06,4</t>
  </si>
  <si>
    <t>1.19,5 - 1.19,9</t>
  </si>
  <si>
    <t>1.20,0 - &lt;</t>
  </si>
  <si>
    <t xml:space="preserve">Dósa Tamás </t>
  </si>
  <si>
    <t>Zaklócki Zoltán</t>
  </si>
  <si>
    <t>Horváth Balázs</t>
  </si>
  <si>
    <t>Szűcs Flórián</t>
  </si>
  <si>
    <t xml:space="preserve">Horváth Imre </t>
  </si>
  <si>
    <t xml:space="preserve">Mozsárik Lajos </t>
  </si>
  <si>
    <t xml:space="preserve">Koszteczky Henrik </t>
  </si>
  <si>
    <t xml:space="preserve">Molnár Márk </t>
  </si>
  <si>
    <t>Baka Béla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</si>
</sst>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&quot; &quot;;&quot;-&quot;0,"/>
  </numFmts>
  <fonts count="66">
    <font>
      <sz val="10"/>
      <color indexed="8"/>
      <name val="Arial"/>
      <family val="0"/>
    </font>
    <font>
      <sz val="12"/>
      <color indexed="8"/>
      <name val="Helv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u val="single"/>
      <sz val="12"/>
      <color indexed="11"/>
      <name val="Arial"/>
      <family val="0"/>
    </font>
    <font>
      <b/>
      <sz val="12"/>
      <color indexed="8"/>
      <name val="Arial"/>
      <family val="0"/>
    </font>
    <font>
      <sz val="12"/>
      <color indexed="16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1"/>
      <color indexed="16"/>
      <name val="Arial"/>
      <family val="0"/>
    </font>
    <font>
      <sz val="10"/>
      <color indexed="16"/>
      <name val="Arial"/>
      <family val="0"/>
    </font>
    <font>
      <b/>
      <sz val="10"/>
      <color indexed="8"/>
      <name val="Arial"/>
      <family val="0"/>
    </font>
    <font>
      <b/>
      <sz val="10"/>
      <color indexed="16"/>
      <name val="Arial"/>
      <family val="0"/>
    </font>
    <font>
      <sz val="10"/>
      <color indexed="8"/>
      <name val="Times New Roman"/>
      <family val="0"/>
    </font>
    <font>
      <b/>
      <sz val="10"/>
      <color indexed="23"/>
      <name val="Arial"/>
      <family val="0"/>
    </font>
    <font>
      <sz val="10"/>
      <color indexed="23"/>
      <name val="Arial"/>
      <family val="0"/>
    </font>
    <font>
      <sz val="10"/>
      <color indexed="23"/>
      <name val="Times New Roman"/>
      <family val="0"/>
    </font>
    <font>
      <b/>
      <sz val="13"/>
      <color indexed="8"/>
      <name val="Arial"/>
      <family val="0"/>
    </font>
    <font>
      <b/>
      <sz val="14"/>
      <color indexed="8"/>
      <name val="Arial"/>
      <family val="0"/>
    </font>
    <font>
      <sz val="10"/>
      <color indexed="43"/>
      <name val="Arial"/>
      <family val="0"/>
    </font>
    <font>
      <b/>
      <sz val="12"/>
      <color indexed="8"/>
      <name val="Arial CE"/>
      <family val="0"/>
    </font>
    <font>
      <sz val="8"/>
      <color indexed="8"/>
      <name val="Arial CE"/>
      <family val="0"/>
    </font>
    <font>
      <sz val="12"/>
      <color indexed="8"/>
      <name val="Arial CE"/>
      <family val="0"/>
    </font>
    <font>
      <sz val="9"/>
      <color indexed="8"/>
      <name val="Arial CE"/>
      <family val="0"/>
    </font>
    <font>
      <sz val="11"/>
      <color indexed="8"/>
      <name val="Arial CE"/>
      <family val="0"/>
    </font>
    <font>
      <b/>
      <sz val="16"/>
      <color indexed="8"/>
      <name val="Arial CE"/>
      <family val="0"/>
    </font>
    <font>
      <sz val="10"/>
      <color indexed="8"/>
      <name val="Arial CE"/>
      <family val="0"/>
    </font>
    <font>
      <sz val="9"/>
      <color indexed="8"/>
      <name val="Arial"/>
      <family val="0"/>
    </font>
    <font>
      <sz val="12"/>
      <color indexed="12"/>
      <name val="Arial"/>
      <family val="0"/>
    </font>
    <font>
      <sz val="12"/>
      <color indexed="12"/>
      <name val="Arial CE"/>
      <family val="0"/>
    </font>
    <font>
      <b/>
      <sz val="9"/>
      <color indexed="8"/>
      <name val="Arial CE"/>
      <family val="0"/>
    </font>
    <font>
      <b/>
      <sz val="10"/>
      <color indexed="8"/>
      <name val="Arial CE"/>
      <family val="0"/>
    </font>
    <font>
      <sz val="9"/>
      <color indexed="16"/>
      <name val="Arial CE"/>
      <family val="0"/>
    </font>
    <font>
      <sz val="7"/>
      <color indexed="8"/>
      <name val="Arial CE"/>
      <family val="0"/>
    </font>
    <font>
      <sz val="9"/>
      <color indexed="8"/>
      <name val="Lucida Grande"/>
      <family val="0"/>
    </font>
    <font>
      <b/>
      <sz val="14"/>
      <color indexed="8"/>
      <name val="Arial CE"/>
      <family val="0"/>
    </font>
    <font>
      <vertAlign val="superscript"/>
      <sz val="8"/>
      <color indexed="8"/>
      <name val="Arial CE"/>
      <family val="0"/>
    </font>
    <font>
      <b/>
      <sz val="18"/>
      <color indexed="8"/>
      <name val="Arial CE"/>
      <family val="0"/>
    </font>
    <font>
      <sz val="11"/>
      <color indexed="23"/>
      <name val="Arial CE"/>
      <family val="0"/>
    </font>
    <font>
      <b/>
      <sz val="9"/>
      <color indexed="8"/>
      <name val="Arial"/>
      <family val="0"/>
    </font>
    <font>
      <b/>
      <sz val="8"/>
      <color indexed="8"/>
      <name val="Arial CE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6"/>
      <color indexed="8"/>
      <name val="Arial"/>
      <family val="0"/>
    </font>
    <font>
      <sz val="9"/>
      <color indexed="16"/>
      <name val="Arial"/>
      <family val="0"/>
    </font>
    <font>
      <vertAlign val="superscript"/>
      <sz val="9"/>
      <color indexed="8"/>
      <name val="Arial"/>
      <family val="0"/>
    </font>
    <font>
      <vertAlign val="superscript"/>
      <sz val="8"/>
      <color indexed="8"/>
      <name val="Arial"/>
      <family val="0"/>
    </font>
    <font>
      <sz val="8"/>
      <name val="Arial"/>
      <family val="2"/>
    </font>
    <font>
      <sz val="12"/>
      <color indexed="12"/>
      <name val="Helv"/>
      <family val="2"/>
    </font>
    <font>
      <sz val="12"/>
      <color indexed="61"/>
      <name val="Helv"/>
      <family val="2"/>
    </font>
    <font>
      <b/>
      <sz val="12"/>
      <color indexed="52"/>
      <name val="Helv"/>
      <family val="2"/>
    </font>
    <font>
      <b/>
      <sz val="12"/>
      <color indexed="12"/>
      <name val="Helv"/>
      <family val="2"/>
    </font>
    <font>
      <i/>
      <sz val="12"/>
      <color indexed="55"/>
      <name val="Helv"/>
      <family val="2"/>
    </font>
    <font>
      <sz val="12"/>
      <color indexed="48"/>
      <name val="Helv"/>
      <family val="2"/>
    </font>
    <font>
      <b/>
      <sz val="15"/>
      <color indexed="44"/>
      <name val="Helv"/>
      <family val="2"/>
    </font>
    <font>
      <b/>
      <sz val="13"/>
      <color indexed="44"/>
      <name val="Helv"/>
      <family val="2"/>
    </font>
    <font>
      <b/>
      <sz val="11"/>
      <color indexed="44"/>
      <name val="Helv"/>
      <family val="2"/>
    </font>
    <font>
      <u val="single"/>
      <sz val="10"/>
      <color indexed="11"/>
      <name val="Arial"/>
      <family val="0"/>
    </font>
    <font>
      <sz val="12"/>
      <color indexed="62"/>
      <name val="Helv"/>
      <family val="2"/>
    </font>
    <font>
      <sz val="12"/>
      <color indexed="52"/>
      <name val="Helv"/>
      <family val="2"/>
    </font>
    <font>
      <sz val="12"/>
      <color indexed="60"/>
      <name val="Helv"/>
      <family val="2"/>
    </font>
    <font>
      <sz val="12"/>
      <color indexed="8"/>
      <name val="Calibri"/>
      <family val="2"/>
    </font>
    <font>
      <b/>
      <sz val="12"/>
      <color indexed="63"/>
      <name val="Helv"/>
      <family val="2"/>
    </font>
    <font>
      <b/>
      <sz val="18"/>
      <color indexed="44"/>
      <name val="Helv"/>
      <family val="2"/>
    </font>
    <font>
      <b/>
      <sz val="12"/>
      <color indexed="8"/>
      <name val="Helv"/>
      <family val="2"/>
    </font>
    <font>
      <sz val="12"/>
      <color indexed="16"/>
      <name val="Helv"/>
      <family val="2"/>
    </font>
  </fonts>
  <fills count="3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8"/>
        <bgColor indexed="64"/>
      </patternFill>
    </fill>
  </fills>
  <borders count="14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9"/>
      </top>
      <bottom style="double">
        <color indexed="9"/>
      </bottom>
    </border>
    <border>
      <left style="thin">
        <color indexed="1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 style="hair">
        <color indexed="8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>
        <color indexed="63"/>
      </right>
      <top style="thin">
        <color indexed="1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13"/>
      </top>
      <bottom style="hair">
        <color indexed="8"/>
      </bottom>
    </border>
    <border>
      <left>
        <color indexed="63"/>
      </left>
      <right style="thin">
        <color indexed="13"/>
      </right>
      <top>
        <color indexed="63"/>
      </top>
      <bottom style="hair">
        <color indexed="8"/>
      </bottom>
    </border>
    <border>
      <left style="thin">
        <color indexed="1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13"/>
      </bottom>
    </border>
    <border>
      <left style="thin">
        <color indexed="13"/>
      </left>
      <right style="thin">
        <color indexed="13"/>
      </right>
      <top style="hair">
        <color indexed="8"/>
      </top>
      <bottom style="hair">
        <color indexed="8"/>
      </bottom>
    </border>
    <border>
      <left style="thin">
        <color indexed="13"/>
      </left>
      <right style="hair">
        <color indexed="8"/>
      </right>
      <top>
        <color indexed="63"/>
      </top>
      <bottom style="thin">
        <color indexed="13"/>
      </bottom>
    </border>
    <border>
      <left style="thin">
        <color indexed="13"/>
      </left>
      <right style="hair">
        <color indexed="8"/>
      </right>
      <top style="thin">
        <color indexed="13"/>
      </top>
      <bottom style="thin">
        <color indexed="13"/>
      </bottom>
    </border>
    <border>
      <left style="thin">
        <color indexed="13"/>
      </left>
      <right style="hair">
        <color indexed="8"/>
      </right>
      <top style="thin">
        <color indexed="1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1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1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1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1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1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49"/>
      </right>
      <top style="thin">
        <color indexed="8"/>
      </top>
      <bottom style="thin">
        <color indexed="8"/>
      </bottom>
    </border>
    <border>
      <left style="medium">
        <color indexed="49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3"/>
      </left>
      <right>
        <color indexed="63"/>
      </right>
      <top style="thin">
        <color indexed="8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hair">
        <color indexed="8"/>
      </bottom>
    </border>
    <border>
      <left>
        <color indexed="63"/>
      </left>
      <right style="thin">
        <color indexed="13"/>
      </right>
      <top style="hair">
        <color indexed="8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hair">
        <color indexed="8"/>
      </top>
      <bottom style="hair">
        <color indexed="8"/>
      </bottom>
    </border>
    <border>
      <left style="thin">
        <color indexed="13"/>
      </left>
      <right>
        <color indexed="63"/>
      </right>
      <top style="hair">
        <color indexed="8"/>
      </top>
      <bottom style="thin">
        <color indexed="1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3"/>
      </left>
      <right>
        <color indexed="63"/>
      </right>
      <top style="thin">
        <color indexed="13"/>
      </top>
      <bottom>
        <color indexed="63"/>
      </bottom>
    </border>
    <border>
      <left style="hair">
        <color indexed="13"/>
      </left>
      <right style="hair">
        <color indexed="13"/>
      </right>
      <top>
        <color indexed="63"/>
      </top>
      <bottom style="hair">
        <color indexed="8"/>
      </bottom>
    </border>
    <border>
      <left style="hair">
        <color indexed="13"/>
      </left>
      <right style="thin">
        <color indexed="13"/>
      </right>
      <top>
        <color indexed="63"/>
      </top>
      <bottom style="hair">
        <color indexed="8"/>
      </bottom>
    </border>
    <border>
      <left style="thin">
        <color indexed="13"/>
      </left>
      <right style="hair">
        <color indexed="13"/>
      </right>
      <top style="thin">
        <color indexed="13"/>
      </top>
      <bottom>
        <color indexed="63"/>
      </bottom>
    </border>
    <border>
      <left style="hair">
        <color indexed="13"/>
      </left>
      <right style="hair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hair">
        <color indexed="1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16"/>
      </right>
      <top style="medium">
        <color indexed="8"/>
      </top>
      <bottom style="thin">
        <color indexed="8"/>
      </bottom>
    </border>
    <border>
      <left style="medium">
        <color indexed="16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48"/>
      </right>
      <top style="thin">
        <color indexed="8"/>
      </top>
      <bottom style="thick">
        <color indexed="8"/>
      </bottom>
    </border>
    <border>
      <left style="thick">
        <color indexed="4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16"/>
      </right>
      <top style="thin">
        <color indexed="8"/>
      </top>
      <bottom style="thin">
        <color indexed="8"/>
      </bottom>
    </border>
    <border>
      <left style="medium">
        <color indexed="16"/>
      </left>
      <right style="medium">
        <color indexed="16"/>
      </right>
      <top style="thin">
        <color indexed="8"/>
      </top>
      <bottom style="thin">
        <color indexed="8"/>
      </bottom>
    </border>
    <border>
      <left style="medium">
        <color indexed="16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16"/>
      </right>
      <top style="thin">
        <color indexed="8"/>
      </top>
      <bottom style="thin">
        <color indexed="8"/>
      </bottom>
    </border>
    <border>
      <left style="medium">
        <color indexed="16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16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11" borderId="0" applyNumberFormat="0" applyBorder="0" applyAlignment="0" applyProtection="0"/>
    <xf numFmtId="0" fontId="48" fillId="9" borderId="0" applyNumberFormat="0" applyBorder="0" applyAlignment="0" applyProtection="0"/>
    <xf numFmtId="0" fontId="48" fillId="6" borderId="0" applyNumberFormat="0" applyBorder="0" applyAlignment="0" applyProtection="0"/>
    <xf numFmtId="0" fontId="49" fillId="12" borderId="0" applyNumberFormat="0" applyBorder="0" applyAlignment="0" applyProtection="0"/>
    <xf numFmtId="0" fontId="50" fillId="13" borderId="1" applyNumberFormat="0" applyAlignment="0" applyProtection="0"/>
    <xf numFmtId="0" fontId="51" fillId="14" borderId="2" applyNumberFormat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15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6" borderId="1" applyNumberFormat="0" applyAlignment="0" applyProtection="0"/>
    <xf numFmtId="0" fontId="59" fillId="0" borderId="5" applyNumberFormat="0" applyFill="0" applyAlignment="0" applyProtection="0"/>
    <xf numFmtId="0" fontId="60" fillId="16" borderId="0" applyNumberFormat="0" applyBorder="0" applyAlignment="0" applyProtection="0"/>
    <xf numFmtId="0" fontId="61" fillId="0" borderId="0">
      <alignment/>
      <protection/>
    </xf>
    <xf numFmtId="0" fontId="0" fillId="0" borderId="0" applyNumberFormat="0" applyFill="0" applyBorder="0" applyProtection="0">
      <alignment/>
    </xf>
    <xf numFmtId="0" fontId="0" fillId="16" borderId="6" applyNumberFormat="0" applyFont="0" applyAlignment="0" applyProtection="0"/>
    <xf numFmtId="0" fontId="62" fillId="1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</cellStyleXfs>
  <cellXfs count="11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9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0" borderId="0" xfId="0" applyNumberFormat="1" applyFont="1" applyAlignment="1">
      <alignment/>
    </xf>
    <xf numFmtId="49" fontId="5" fillId="17" borderId="9" xfId="0" applyNumberFormat="1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17" borderId="11" xfId="0" applyFont="1" applyFill="1" applyBorder="1" applyAlignment="1">
      <alignment/>
    </xf>
    <xf numFmtId="0" fontId="0" fillId="17" borderId="12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7" borderId="13" xfId="0" applyFont="1" applyFill="1" applyBorder="1" applyAlignment="1">
      <alignment/>
    </xf>
    <xf numFmtId="49" fontId="0" fillId="17" borderId="12" xfId="0" applyNumberFormat="1" applyFont="1" applyFill="1" applyBorder="1" applyAlignment="1">
      <alignment/>
    </xf>
    <xf numFmtId="0" fontId="0" fillId="18" borderId="0" xfId="0" applyFont="1" applyFill="1" applyBorder="1" applyAlignment="1">
      <alignment/>
    </xf>
    <xf numFmtId="1" fontId="0" fillId="17" borderId="0" xfId="0" applyNumberFormat="1" applyFont="1" applyFill="1" applyBorder="1" applyAlignment="1">
      <alignment/>
    </xf>
    <xf numFmtId="1" fontId="0" fillId="17" borderId="13" xfId="0" applyNumberFormat="1" applyFont="1" applyFill="1" applyBorder="1" applyAlignment="1">
      <alignment/>
    </xf>
    <xf numFmtId="1" fontId="0" fillId="17" borderId="12" xfId="0" applyNumberFormat="1" applyFont="1" applyFill="1" applyBorder="1" applyAlignment="1">
      <alignment/>
    </xf>
    <xf numFmtId="49" fontId="0" fillId="19" borderId="12" xfId="0" applyNumberFormat="1" applyFont="1" applyFill="1" applyBorder="1" applyAlignment="1">
      <alignment/>
    </xf>
    <xf numFmtId="1" fontId="0" fillId="19" borderId="0" xfId="0" applyNumberFormat="1" applyFont="1" applyFill="1" applyBorder="1" applyAlignment="1">
      <alignment/>
    </xf>
    <xf numFmtId="49" fontId="7" fillId="17" borderId="12" xfId="0" applyNumberFormat="1" applyFont="1" applyFill="1" applyBorder="1" applyAlignment="1">
      <alignment/>
    </xf>
    <xf numFmtId="0" fontId="7" fillId="17" borderId="0" xfId="0" applyFont="1" applyFill="1" applyBorder="1" applyAlignment="1">
      <alignment/>
    </xf>
    <xf numFmtId="0" fontId="7" fillId="17" borderId="13" xfId="0" applyFont="1" applyFill="1" applyBorder="1" applyAlignment="1">
      <alignment/>
    </xf>
    <xf numFmtId="0" fontId="7" fillId="17" borderId="12" xfId="0" applyFont="1" applyFill="1" applyBorder="1" applyAlignment="1">
      <alignment/>
    </xf>
    <xf numFmtId="49" fontId="7" fillId="20" borderId="0" xfId="0" applyNumberFormat="1" applyFont="1" applyFill="1" applyBorder="1" applyAlignment="1">
      <alignment/>
    </xf>
    <xf numFmtId="1" fontId="7" fillId="20" borderId="0" xfId="0" applyNumberFormat="1" applyFont="1" applyFill="1" applyBorder="1" applyAlignment="1">
      <alignment/>
    </xf>
    <xf numFmtId="1" fontId="7" fillId="17" borderId="0" xfId="0" applyNumberFormat="1" applyFont="1" applyFill="1" applyBorder="1" applyAlignment="1">
      <alignment/>
    </xf>
    <xf numFmtId="49" fontId="7" fillId="17" borderId="0" xfId="0" applyNumberFormat="1" applyFont="1" applyFill="1" applyBorder="1" applyAlignment="1">
      <alignment/>
    </xf>
    <xf numFmtId="0" fontId="0" fillId="20" borderId="0" xfId="0" applyFont="1" applyFill="1" applyBorder="1" applyAlignment="1">
      <alignment/>
    </xf>
    <xf numFmtId="49" fontId="0" fillId="17" borderId="0" xfId="0" applyNumberFormat="1" applyFont="1" applyFill="1" applyBorder="1" applyAlignment="1">
      <alignment/>
    </xf>
    <xf numFmtId="49" fontId="8" fillId="17" borderId="12" xfId="0" applyNumberFormat="1" applyFont="1" applyFill="1" applyBorder="1" applyAlignment="1">
      <alignment/>
    </xf>
    <xf numFmtId="49" fontId="8" fillId="17" borderId="0" xfId="0" applyNumberFormat="1" applyFont="1" applyFill="1" applyBorder="1" applyAlignment="1">
      <alignment/>
    </xf>
    <xf numFmtId="49" fontId="5" fillId="17" borderId="0" xfId="0" applyNumberFormat="1" applyFont="1" applyFill="1" applyBorder="1" applyAlignment="1">
      <alignment/>
    </xf>
    <xf numFmtId="49" fontId="5" fillId="17" borderId="12" xfId="0" applyNumberFormat="1" applyFont="1" applyFill="1" applyBorder="1" applyAlignment="1">
      <alignment/>
    </xf>
    <xf numFmtId="49" fontId="0" fillId="17" borderId="0" xfId="0" applyNumberFormat="1" applyFont="1" applyFill="1" applyBorder="1" applyAlignment="1">
      <alignment horizontal="left"/>
    </xf>
    <xf numFmtId="0" fontId="0" fillId="17" borderId="14" xfId="0" applyFont="1" applyFill="1" applyBorder="1" applyAlignment="1">
      <alignment/>
    </xf>
    <xf numFmtId="49" fontId="0" fillId="17" borderId="15" xfId="0" applyNumberFormat="1" applyFont="1" applyFill="1" applyBorder="1" applyAlignment="1">
      <alignment/>
    </xf>
    <xf numFmtId="0" fontId="0" fillId="17" borderId="15" xfId="0" applyFont="1" applyFill="1" applyBorder="1" applyAlignment="1">
      <alignment/>
    </xf>
    <xf numFmtId="49" fontId="0" fillId="17" borderId="15" xfId="0" applyNumberFormat="1" applyFont="1" applyFill="1" applyBorder="1" applyAlignment="1">
      <alignment horizontal="left"/>
    </xf>
    <xf numFmtId="0" fontId="0" fillId="17" borderId="16" xfId="0" applyFont="1" applyFill="1" applyBorder="1" applyAlignment="1">
      <alignment/>
    </xf>
    <xf numFmtId="49" fontId="11" fillId="21" borderId="17" xfId="0" applyNumberFormat="1" applyFont="1" applyFill="1" applyBorder="1" applyAlignment="1">
      <alignment horizontal="center"/>
    </xf>
    <xf numFmtId="49" fontId="0" fillId="21" borderId="17" xfId="0" applyNumberFormat="1" applyFont="1" applyFill="1" applyBorder="1" applyAlignment="1">
      <alignment horizontal="center"/>
    </xf>
    <xf numFmtId="1" fontId="0" fillId="17" borderId="17" xfId="0" applyNumberFormat="1" applyFont="1" applyFill="1" applyBorder="1" applyAlignment="1">
      <alignment horizontal="center"/>
    </xf>
    <xf numFmtId="1" fontId="0" fillId="3" borderId="17" xfId="0" applyNumberFormat="1" applyFont="1" applyFill="1" applyBorder="1" applyAlignment="1">
      <alignment horizontal="center"/>
    </xf>
    <xf numFmtId="1" fontId="11" fillId="22" borderId="17" xfId="0" applyNumberFormat="1" applyFont="1" applyFill="1" applyBorder="1" applyAlignment="1">
      <alignment horizontal="center"/>
    </xf>
    <xf numFmtId="1" fontId="0" fillId="23" borderId="17" xfId="0" applyNumberFormat="1" applyFont="1" applyFill="1" applyBorder="1" applyAlignment="1">
      <alignment horizontal="center"/>
    </xf>
    <xf numFmtId="1" fontId="0" fillId="21" borderId="17" xfId="0" applyNumberFormat="1" applyFont="1" applyFill="1" applyBorder="1" applyAlignment="1">
      <alignment horizontal="center"/>
    </xf>
    <xf numFmtId="49" fontId="0" fillId="23" borderId="17" xfId="0" applyNumberFormat="1" applyFont="1" applyFill="1" applyBorder="1" applyAlignment="1">
      <alignment/>
    </xf>
    <xf numFmtId="49" fontId="0" fillId="23" borderId="17" xfId="0" applyNumberFormat="1" applyFont="1" applyFill="1" applyBorder="1" applyAlignment="1">
      <alignment horizontal="center"/>
    </xf>
    <xf numFmtId="0" fontId="0" fillId="21" borderId="17" xfId="0" applyNumberFormat="1" applyFont="1" applyFill="1" applyBorder="1" applyAlignment="1">
      <alignment horizontal="center"/>
    </xf>
    <xf numFmtId="0" fontId="0" fillId="3" borderId="17" xfId="0" applyNumberFormat="1" applyFont="1" applyFill="1" applyBorder="1" applyAlignment="1">
      <alignment horizontal="center"/>
    </xf>
    <xf numFmtId="49" fontId="0" fillId="5" borderId="17" xfId="0" applyNumberFormat="1" applyFont="1" applyFill="1" applyBorder="1" applyAlignment="1">
      <alignment horizontal="center"/>
    </xf>
    <xf numFmtId="49" fontId="0" fillId="3" borderId="17" xfId="0" applyNumberFormat="1" applyFont="1" applyFill="1" applyBorder="1" applyAlignment="1">
      <alignment horizontal="center"/>
    </xf>
    <xf numFmtId="0" fontId="0" fillId="24" borderId="6" xfId="0" applyFont="1" applyFill="1" applyBorder="1" applyAlignment="1">
      <alignment horizontal="center"/>
    </xf>
    <xf numFmtId="0" fontId="0" fillId="24" borderId="6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11" fillId="25" borderId="10" xfId="0" applyFont="1" applyFill="1" applyBorder="1" applyAlignment="1">
      <alignment horizontal="center" vertical="center"/>
    </xf>
    <xf numFmtId="49" fontId="0" fillId="24" borderId="6" xfId="0" applyNumberFormat="1" applyFont="1" applyFill="1" applyBorder="1" applyAlignment="1">
      <alignment horizontal="center"/>
    </xf>
    <xf numFmtId="1" fontId="0" fillId="24" borderId="20" xfId="0" applyNumberFormat="1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49" fontId="8" fillId="24" borderId="22" xfId="0" applyNumberFormat="1" applyFont="1" applyFill="1" applyBorder="1" applyAlignment="1">
      <alignment horizontal="center"/>
    </xf>
    <xf numFmtId="49" fontId="8" fillId="26" borderId="22" xfId="0" applyNumberFormat="1" applyFont="1" applyFill="1" applyBorder="1" applyAlignment="1">
      <alignment horizontal="center" vertical="center"/>
    </xf>
    <xf numFmtId="49" fontId="8" fillId="23" borderId="22" xfId="0" applyNumberFormat="1" applyFont="1" applyFill="1" applyBorder="1" applyAlignment="1">
      <alignment horizontal="center" vertical="center" wrapText="1"/>
    </xf>
    <xf numFmtId="49" fontId="8" fillId="26" borderId="22" xfId="0" applyNumberFormat="1" applyFont="1" applyFill="1" applyBorder="1" applyAlignment="1">
      <alignment horizontal="center" vertical="center" wrapText="1"/>
    </xf>
    <xf numFmtId="1" fontId="8" fillId="24" borderId="23" xfId="0" applyNumberFormat="1" applyFont="1" applyFill="1" applyBorder="1" applyAlignment="1">
      <alignment horizontal="center"/>
    </xf>
    <xf numFmtId="49" fontId="8" fillId="24" borderId="24" xfId="0" applyNumberFormat="1" applyFont="1" applyFill="1" applyBorder="1" applyAlignment="1">
      <alignment horizontal="center"/>
    </xf>
    <xf numFmtId="49" fontId="8" fillId="27" borderId="25" xfId="0" applyNumberFormat="1" applyFont="1" applyFill="1" applyBorder="1" applyAlignment="1">
      <alignment horizontal="center" vertical="center"/>
    </xf>
    <xf numFmtId="49" fontId="8" fillId="24" borderId="26" xfId="0" applyNumberFormat="1" applyFont="1" applyFill="1" applyBorder="1" applyAlignment="1">
      <alignment horizontal="center"/>
    </xf>
    <xf numFmtId="49" fontId="8" fillId="23" borderId="26" xfId="0" applyNumberFormat="1" applyFont="1" applyFill="1" applyBorder="1" applyAlignment="1">
      <alignment horizontal="center" vertical="center" wrapText="1"/>
    </xf>
    <xf numFmtId="49" fontId="8" fillId="28" borderId="27" xfId="0" applyNumberFormat="1" applyFont="1" applyFill="1" applyBorder="1" applyAlignment="1">
      <alignment horizontal="center" vertical="center" wrapText="1"/>
    </xf>
    <xf numFmtId="49" fontId="0" fillId="23" borderId="28" xfId="0" applyNumberFormat="1" applyFont="1" applyFill="1" applyBorder="1" applyAlignment="1">
      <alignment horizontal="center"/>
    </xf>
    <xf numFmtId="1" fontId="0" fillId="23" borderId="29" xfId="0" applyNumberFormat="1" applyFont="1" applyFill="1" applyBorder="1" applyAlignment="1">
      <alignment horizontal="center"/>
    </xf>
    <xf numFmtId="1" fontId="0" fillId="23" borderId="29" xfId="0" applyNumberFormat="1" applyFont="1" applyFill="1" applyBorder="1" applyAlignment="1">
      <alignment/>
    </xf>
    <xf numFmtId="49" fontId="0" fillId="8" borderId="30" xfId="0" applyNumberFormat="1" applyFont="1" applyFill="1" applyBorder="1" applyAlignment="1">
      <alignment/>
    </xf>
    <xf numFmtId="49" fontId="0" fillId="23" borderId="31" xfId="0" applyNumberFormat="1" applyFont="1" applyFill="1" applyBorder="1" applyAlignment="1">
      <alignment/>
    </xf>
    <xf numFmtId="3" fontId="15" fillId="29" borderId="32" xfId="0" applyNumberFormat="1" applyFont="1" applyFill="1" applyBorder="1" applyAlignment="1">
      <alignment horizontal="center"/>
    </xf>
    <xf numFmtId="3" fontId="0" fillId="8" borderId="33" xfId="0" applyNumberFormat="1" applyFont="1" applyFill="1" applyBorder="1" applyAlignment="1">
      <alignment/>
    </xf>
    <xf numFmtId="3" fontId="0" fillId="17" borderId="34" xfId="0" applyNumberFormat="1" applyFont="1" applyFill="1" applyBorder="1" applyAlignment="1">
      <alignment horizontal="center"/>
    </xf>
    <xf numFmtId="3" fontId="0" fillId="27" borderId="29" xfId="0" applyNumberFormat="1" applyFont="1" applyFill="1" applyBorder="1" applyAlignment="1">
      <alignment horizontal="center"/>
    </xf>
    <xf numFmtId="3" fontId="0" fillId="30" borderId="29" xfId="0" applyNumberFormat="1" applyFont="1" applyFill="1" applyBorder="1" applyAlignment="1">
      <alignment/>
    </xf>
    <xf numFmtId="49" fontId="0" fillId="31" borderId="20" xfId="0" applyNumberFormat="1" applyFont="1" applyFill="1" applyBorder="1" applyAlignment="1">
      <alignment horizontal="center"/>
    </xf>
    <xf numFmtId="1" fontId="0" fillId="31" borderId="20" xfId="0" applyNumberFormat="1" applyFont="1" applyFill="1" applyBorder="1" applyAlignment="1">
      <alignment horizontal="center"/>
    </xf>
    <xf numFmtId="1" fontId="0" fillId="31" borderId="20" xfId="0" applyNumberFormat="1" applyFont="1" applyFill="1" applyBorder="1" applyAlignment="1">
      <alignment/>
    </xf>
    <xf numFmtId="49" fontId="0" fillId="31" borderId="35" xfId="0" applyNumberFormat="1" applyFont="1" applyFill="1" applyBorder="1" applyAlignment="1">
      <alignment/>
    </xf>
    <xf numFmtId="49" fontId="0" fillId="32" borderId="36" xfId="0" applyNumberFormat="1" applyFont="1" applyFill="1" applyBorder="1" applyAlignment="1">
      <alignment/>
    </xf>
    <xf numFmtId="3" fontId="0" fillId="17" borderId="19" xfId="0" applyNumberFormat="1" applyFont="1" applyFill="1" applyBorder="1" applyAlignment="1">
      <alignment horizontal="center"/>
    </xf>
    <xf numFmtId="3" fontId="0" fillId="27" borderId="0" xfId="0" applyNumberFormat="1" applyFont="1" applyFill="1" applyBorder="1" applyAlignment="1">
      <alignment horizontal="center"/>
    </xf>
    <xf numFmtId="3" fontId="0" fillId="30" borderId="0" xfId="0" applyNumberFormat="1" applyFont="1" applyFill="1" applyBorder="1" applyAlignment="1">
      <alignment/>
    </xf>
    <xf numFmtId="49" fontId="0" fillId="31" borderId="6" xfId="0" applyNumberFormat="1" applyFont="1" applyFill="1" applyBorder="1" applyAlignment="1">
      <alignment horizontal="center"/>
    </xf>
    <xf numFmtId="1" fontId="0" fillId="31" borderId="6" xfId="0" applyNumberFormat="1" applyFont="1" applyFill="1" applyBorder="1" applyAlignment="1">
      <alignment horizontal="center"/>
    </xf>
    <xf numFmtId="1" fontId="0" fillId="31" borderId="6" xfId="0" applyNumberFormat="1" applyFont="1" applyFill="1" applyBorder="1" applyAlignment="1">
      <alignment/>
    </xf>
    <xf numFmtId="49" fontId="0" fillId="32" borderId="37" xfId="0" applyNumberFormat="1" applyFont="1" applyFill="1" applyBorder="1" applyAlignment="1">
      <alignment/>
    </xf>
    <xf numFmtId="49" fontId="0" fillId="31" borderId="22" xfId="0" applyNumberFormat="1" applyFont="1" applyFill="1" applyBorder="1" applyAlignment="1">
      <alignment horizontal="center"/>
    </xf>
    <xf numFmtId="1" fontId="0" fillId="31" borderId="22" xfId="0" applyNumberFormat="1" applyFont="1" applyFill="1" applyBorder="1" applyAlignment="1">
      <alignment horizontal="center"/>
    </xf>
    <xf numFmtId="1" fontId="0" fillId="31" borderId="22" xfId="0" applyNumberFormat="1" applyFont="1" applyFill="1" applyBorder="1" applyAlignment="1">
      <alignment/>
    </xf>
    <xf numFmtId="49" fontId="0" fillId="32" borderId="38" xfId="0" applyNumberFormat="1" applyFont="1" applyFill="1" applyBorder="1" applyAlignment="1">
      <alignment/>
    </xf>
    <xf numFmtId="3" fontId="0" fillId="17" borderId="26" xfId="0" applyNumberFormat="1" applyFont="1" applyFill="1" applyBorder="1" applyAlignment="1">
      <alignment horizontal="center"/>
    </xf>
    <xf numFmtId="3" fontId="0" fillId="30" borderId="25" xfId="0" applyNumberFormat="1" applyFont="1" applyFill="1" applyBorder="1" applyAlignment="1">
      <alignment/>
    </xf>
    <xf numFmtId="0" fontId="0" fillId="23" borderId="29" xfId="0" applyFont="1" applyFill="1" applyBorder="1" applyAlignment="1">
      <alignment/>
    </xf>
    <xf numFmtId="0" fontId="0" fillId="8" borderId="30" xfId="0" applyFont="1" applyFill="1" applyBorder="1" applyAlignment="1">
      <alignment/>
    </xf>
    <xf numFmtId="0" fontId="0" fillId="23" borderId="31" xfId="0" applyFont="1" applyFill="1" applyBorder="1" applyAlignment="1">
      <alignment/>
    </xf>
    <xf numFmtId="0" fontId="0" fillId="31" borderId="20" xfId="0" applyFont="1" applyFill="1" applyBorder="1" applyAlignment="1">
      <alignment/>
    </xf>
    <xf numFmtId="0" fontId="0" fillId="31" borderId="35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0" fontId="0" fillId="31" borderId="6" xfId="0" applyFont="1" applyFill="1" applyBorder="1" applyAlignment="1">
      <alignment/>
    </xf>
    <xf numFmtId="0" fontId="0" fillId="32" borderId="37" xfId="0" applyFont="1" applyFill="1" applyBorder="1" applyAlignment="1">
      <alignment/>
    </xf>
    <xf numFmtId="0" fontId="0" fillId="31" borderId="22" xfId="0" applyFont="1" applyFill="1" applyBorder="1" applyAlignment="1">
      <alignment/>
    </xf>
    <xf numFmtId="0" fontId="0" fillId="32" borderId="38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1" fontId="0" fillId="8" borderId="33" xfId="0" applyNumberFormat="1" applyFont="1" applyFill="1" applyBorder="1" applyAlignment="1">
      <alignment/>
    </xf>
    <xf numFmtId="1" fontId="0" fillId="8" borderId="40" xfId="0" applyNumberFormat="1" applyFont="1" applyFill="1" applyBorder="1" applyAlignment="1">
      <alignment/>
    </xf>
    <xf numFmtId="3" fontId="0" fillId="27" borderId="25" xfId="0" applyNumberFormat="1" applyFont="1" applyFill="1" applyBorder="1" applyAlignment="1">
      <alignment horizontal="center"/>
    </xf>
    <xf numFmtId="1" fontId="0" fillId="15" borderId="0" xfId="0" applyNumberFormat="1" applyFont="1" applyFill="1" applyBorder="1" applyAlignment="1">
      <alignment/>
    </xf>
    <xf numFmtId="49" fontId="17" fillId="15" borderId="0" xfId="0" applyNumberFormat="1" applyFont="1" applyFill="1" applyBorder="1" applyAlignment="1">
      <alignment horizontal="center" vertical="center"/>
    </xf>
    <xf numFmtId="49" fontId="17" fillId="15" borderId="0" xfId="0" applyNumberFormat="1" applyFont="1" applyFill="1" applyBorder="1" applyAlignment="1">
      <alignment vertical="center"/>
    </xf>
    <xf numFmtId="1" fontId="0" fillId="15" borderId="13" xfId="0" applyNumberFormat="1" applyFont="1" applyFill="1" applyBorder="1" applyAlignment="1">
      <alignment/>
    </xf>
    <xf numFmtId="1" fontId="0" fillId="7" borderId="0" xfId="0" applyNumberFormat="1" applyFont="1" applyFill="1" applyBorder="1" applyAlignment="1">
      <alignment/>
    </xf>
    <xf numFmtId="49" fontId="11" fillId="7" borderId="0" xfId="0" applyNumberFormat="1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 vertical="center"/>
    </xf>
    <xf numFmtId="49" fontId="11" fillId="34" borderId="13" xfId="0" applyNumberFormat="1" applyFont="1" applyFill="1" applyBorder="1" applyAlignment="1">
      <alignment horizontal="center" vertical="center"/>
    </xf>
    <xf numFmtId="1" fontId="11" fillId="7" borderId="0" xfId="0" applyNumberFormat="1" applyFont="1" applyFill="1" applyBorder="1" applyAlignment="1">
      <alignment horizontal="center"/>
    </xf>
    <xf numFmtId="1" fontId="11" fillId="7" borderId="0" xfId="0" applyNumberFormat="1" applyFont="1" applyFill="1" applyBorder="1" applyAlignment="1">
      <alignment/>
    </xf>
    <xf numFmtId="49" fontId="2" fillId="7" borderId="12" xfId="0" applyNumberFormat="1" applyFont="1" applyFill="1" applyBorder="1" applyAlignment="1">
      <alignment horizontal="center"/>
    </xf>
    <xf numFmtId="49" fontId="2" fillId="7" borderId="0" xfId="0" applyNumberFormat="1" applyFont="1" applyFill="1" applyBorder="1" applyAlignment="1">
      <alignment horizontal="center"/>
    </xf>
    <xf numFmtId="49" fontId="0" fillId="7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49" fontId="0" fillId="7" borderId="0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3" fontId="0" fillId="7" borderId="0" xfId="0" applyNumberFormat="1" applyFon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3" fontId="0" fillId="7" borderId="0" xfId="0" applyNumberFormat="1" applyFont="1" applyFill="1" applyBorder="1" applyAlignment="1">
      <alignment horizontal="center"/>
    </xf>
    <xf numFmtId="1" fontId="15" fillId="34" borderId="13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/>
    </xf>
    <xf numFmtId="1" fontId="0" fillId="7" borderId="15" xfId="0" applyNumberFormat="1" applyFont="1" applyFill="1" applyBorder="1" applyAlignment="1">
      <alignment/>
    </xf>
    <xf numFmtId="0" fontId="0" fillId="7" borderId="15" xfId="0" applyFont="1" applyFill="1" applyBorder="1" applyAlignment="1">
      <alignment/>
    </xf>
    <xf numFmtId="3" fontId="0" fillId="7" borderId="15" xfId="0" applyNumberFormat="1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/>
    </xf>
    <xf numFmtId="1" fontId="15" fillId="34" borderId="16" xfId="0" applyNumberFormat="1" applyFont="1" applyFill="1" applyBorder="1" applyAlignment="1">
      <alignment horizontal="center"/>
    </xf>
    <xf numFmtId="0" fontId="11" fillId="17" borderId="0" xfId="0" applyFont="1" applyFill="1" applyBorder="1" applyAlignment="1">
      <alignment/>
    </xf>
    <xf numFmtId="49" fontId="5" fillId="21" borderId="41" xfId="0" applyNumberFormat="1" applyFont="1" applyFill="1" applyBorder="1" applyAlignment="1">
      <alignment horizontal="left" vertical="center"/>
    </xf>
    <xf numFmtId="0" fontId="0" fillId="21" borderId="41" xfId="0" applyFont="1" applyFill="1" applyBorder="1" applyAlignment="1">
      <alignment/>
    </xf>
    <xf numFmtId="0" fontId="0" fillId="21" borderId="0" xfId="0" applyFont="1" applyFill="1" applyBorder="1" applyAlignment="1">
      <alignment/>
    </xf>
    <xf numFmtId="49" fontId="11" fillId="17" borderId="42" xfId="0" applyNumberFormat="1" applyFont="1" applyFill="1" applyBorder="1" applyAlignment="1">
      <alignment vertical="center"/>
    </xf>
    <xf numFmtId="0" fontId="0" fillId="17" borderId="43" xfId="0" applyFont="1" applyFill="1" applyBorder="1" applyAlignment="1">
      <alignment vertical="center"/>
    </xf>
    <xf numFmtId="49" fontId="10" fillId="17" borderId="44" xfId="0" applyNumberFormat="1" applyFont="1" applyFill="1" applyBorder="1" applyAlignment="1">
      <alignment vertical="center"/>
    </xf>
    <xf numFmtId="0" fontId="0" fillId="17" borderId="17" xfId="0" applyFont="1" applyFill="1" applyBorder="1" applyAlignment="1">
      <alignment vertical="center"/>
    </xf>
    <xf numFmtId="49" fontId="0" fillId="17" borderId="45" xfId="0" applyNumberFormat="1" applyFont="1" applyFill="1" applyBorder="1" applyAlignment="1">
      <alignment vertical="center"/>
    </xf>
    <xf numFmtId="49" fontId="0" fillId="17" borderId="41" xfId="0" applyNumberFormat="1" applyFont="1" applyFill="1" applyBorder="1" applyAlignment="1">
      <alignment/>
    </xf>
    <xf numFmtId="0" fontId="0" fillId="17" borderId="41" xfId="0" applyFont="1" applyFill="1" applyBorder="1" applyAlignment="1">
      <alignment/>
    </xf>
    <xf numFmtId="49" fontId="0" fillId="17" borderId="42" xfId="0" applyNumberFormat="1" applyFont="1" applyFill="1" applyBorder="1" applyAlignment="1">
      <alignment vertical="center"/>
    </xf>
    <xf numFmtId="49" fontId="19" fillId="17" borderId="44" xfId="0" applyNumberFormat="1" applyFont="1" applyFill="1" applyBorder="1" applyAlignment="1">
      <alignment vertical="center"/>
    </xf>
    <xf numFmtId="0" fontId="0" fillId="17" borderId="46" xfId="0" applyFont="1" applyFill="1" applyBorder="1" applyAlignment="1">
      <alignment/>
    </xf>
    <xf numFmtId="0" fontId="0" fillId="17" borderId="42" xfId="0" applyFont="1" applyFill="1" applyBorder="1" applyAlignment="1">
      <alignment vertical="center"/>
    </xf>
    <xf numFmtId="0" fontId="0" fillId="17" borderId="0" xfId="0" applyFont="1" applyFill="1" applyBorder="1" applyAlignment="1">
      <alignment vertical="center"/>
    </xf>
    <xf numFmtId="0" fontId="0" fillId="17" borderId="47" xfId="0" applyFont="1" applyFill="1" applyBorder="1" applyAlignment="1">
      <alignment/>
    </xf>
    <xf numFmtId="49" fontId="0" fillId="17" borderId="47" xfId="0" applyNumberFormat="1" applyFont="1" applyFill="1" applyBorder="1" applyAlignment="1">
      <alignment/>
    </xf>
    <xf numFmtId="0" fontId="11" fillId="17" borderId="47" xfId="0" applyFont="1" applyFill="1" applyBorder="1" applyAlignment="1">
      <alignment/>
    </xf>
    <xf numFmtId="49" fontId="5" fillId="35" borderId="0" xfId="0" applyNumberFormat="1" applyFont="1" applyFill="1" applyBorder="1" applyAlignment="1">
      <alignment horizontal="left" vertical="center"/>
    </xf>
    <xf numFmtId="0" fontId="0" fillId="35" borderId="0" xfId="0" applyFont="1" applyFill="1" applyBorder="1" applyAlignment="1">
      <alignment/>
    </xf>
    <xf numFmtId="0" fontId="0" fillId="17" borderId="0" xfId="0" applyFont="1" applyFill="1" applyBorder="1" applyAlignment="1">
      <alignment horizontal="center" vertical="center"/>
    </xf>
    <xf numFmtId="0" fontId="0" fillId="17" borderId="41" xfId="0" applyFont="1" applyFill="1" applyBorder="1" applyAlignment="1">
      <alignment vertical="center"/>
    </xf>
    <xf numFmtId="0" fontId="10" fillId="17" borderId="0" xfId="0" applyFont="1" applyFill="1" applyBorder="1" applyAlignment="1">
      <alignment vertical="center"/>
    </xf>
    <xf numFmtId="0" fontId="0" fillId="17" borderId="0" xfId="0" applyFont="1" applyFill="1" applyBorder="1" applyAlignment="1">
      <alignment horizontal="center"/>
    </xf>
    <xf numFmtId="0" fontId="0" fillId="17" borderId="48" xfId="0" applyFont="1" applyFill="1" applyBorder="1" applyAlignment="1">
      <alignment vertical="center"/>
    </xf>
    <xf numFmtId="0" fontId="0" fillId="17" borderId="48" xfId="0" applyFont="1" applyFill="1" applyBorder="1" applyAlignment="1">
      <alignment/>
    </xf>
    <xf numFmtId="49" fontId="0" fillId="17" borderId="0" xfId="0" applyNumberFormat="1" applyFont="1" applyFill="1" applyBorder="1" applyAlignment="1">
      <alignment vertical="center"/>
    </xf>
    <xf numFmtId="0" fontId="0" fillId="0" borderId="6" xfId="0" applyFont="1" applyBorder="1" applyAlignment="1">
      <alignment/>
    </xf>
    <xf numFmtId="0" fontId="0" fillId="21" borderId="9" xfId="0" applyFont="1" applyFill="1" applyBorder="1" applyAlignment="1">
      <alignment vertical="center"/>
    </xf>
    <xf numFmtId="0" fontId="0" fillId="21" borderId="10" xfId="0" applyFont="1" applyFill="1" applyBorder="1" applyAlignment="1">
      <alignment vertical="center"/>
    </xf>
    <xf numFmtId="0" fontId="0" fillId="21" borderId="11" xfId="0" applyFont="1" applyFill="1" applyBorder="1" applyAlignment="1">
      <alignment vertical="center"/>
    </xf>
    <xf numFmtId="0" fontId="0" fillId="21" borderId="9" xfId="0" applyFont="1" applyFill="1" applyBorder="1" applyAlignment="1">
      <alignment/>
    </xf>
    <xf numFmtId="0" fontId="0" fillId="21" borderId="10" xfId="0" applyFont="1" applyFill="1" applyBorder="1" applyAlignment="1">
      <alignment/>
    </xf>
    <xf numFmtId="0" fontId="0" fillId="21" borderId="11" xfId="0" applyFont="1" applyFill="1" applyBorder="1" applyAlignment="1">
      <alignment/>
    </xf>
    <xf numFmtId="1" fontId="23" fillId="21" borderId="49" xfId="0" applyNumberFormat="1" applyFont="1" applyFill="1" applyBorder="1" applyAlignment="1">
      <alignment vertical="center"/>
    </xf>
    <xf numFmtId="1" fontId="23" fillId="21" borderId="29" xfId="0" applyNumberFormat="1" applyFont="1" applyFill="1" applyBorder="1" applyAlignment="1">
      <alignment vertical="center"/>
    </xf>
    <xf numFmtId="1" fontId="23" fillId="21" borderId="50" xfId="0" applyNumberFormat="1" applyFont="1" applyFill="1" applyBorder="1" applyAlignment="1">
      <alignment vertical="center"/>
    </xf>
    <xf numFmtId="1" fontId="23" fillId="21" borderId="25" xfId="0" applyNumberFormat="1" applyFont="1" applyFill="1" applyBorder="1" applyAlignment="1">
      <alignment vertical="center"/>
    </xf>
    <xf numFmtId="49" fontId="2" fillId="21" borderId="32" xfId="0" applyNumberFormat="1" applyFont="1" applyFill="1" applyBorder="1" applyAlignment="1">
      <alignment vertical="center"/>
    </xf>
    <xf numFmtId="1" fontId="2" fillId="21" borderId="32" xfId="0" applyNumberFormat="1" applyFont="1" applyFill="1" applyBorder="1" applyAlignment="1">
      <alignment vertical="center"/>
    </xf>
    <xf numFmtId="49" fontId="0" fillId="21" borderId="51" xfId="0" applyNumberFormat="1" applyFont="1" applyFill="1" applyBorder="1" applyAlignment="1">
      <alignment vertical="center"/>
    </xf>
    <xf numFmtId="49" fontId="0" fillId="21" borderId="30" xfId="0" applyNumberFormat="1" applyFont="1" applyFill="1" applyBorder="1" applyAlignment="1">
      <alignment vertical="center"/>
    </xf>
    <xf numFmtId="1" fontId="0" fillId="21" borderId="30" xfId="0" applyNumberFormat="1" applyFont="1" applyFill="1" applyBorder="1" applyAlignment="1">
      <alignment vertical="center"/>
    </xf>
    <xf numFmtId="49" fontId="21" fillId="21" borderId="30" xfId="0" applyNumberFormat="1" applyFont="1" applyFill="1" applyBorder="1" applyAlignment="1">
      <alignment horizontal="center" vertical="center"/>
    </xf>
    <xf numFmtId="49" fontId="23" fillId="21" borderId="30" xfId="0" applyNumberFormat="1" applyFont="1" applyFill="1" applyBorder="1" applyAlignment="1">
      <alignment horizontal="center"/>
    </xf>
    <xf numFmtId="1" fontId="23" fillId="21" borderId="30" xfId="0" applyNumberFormat="1" applyFont="1" applyFill="1" applyBorder="1" applyAlignment="1">
      <alignment horizontal="center"/>
    </xf>
    <xf numFmtId="1" fontId="23" fillId="21" borderId="52" xfId="0" applyNumberFormat="1" applyFont="1" applyFill="1" applyBorder="1" applyAlignment="1">
      <alignment horizontal="center"/>
    </xf>
    <xf numFmtId="1" fontId="0" fillId="21" borderId="32" xfId="0" applyNumberFormat="1" applyFont="1" applyFill="1" applyBorder="1" applyAlignment="1">
      <alignment vertical="center"/>
    </xf>
    <xf numFmtId="1" fontId="7" fillId="21" borderId="32" xfId="0" applyNumberFormat="1" applyFont="1" applyFill="1" applyBorder="1" applyAlignment="1">
      <alignment vertical="center"/>
    </xf>
    <xf numFmtId="2" fontId="24" fillId="21" borderId="32" xfId="0" applyNumberFormat="1" applyFont="1" applyFill="1" applyBorder="1" applyAlignment="1">
      <alignment horizontal="center" vertical="center"/>
    </xf>
    <xf numFmtId="49" fontId="24" fillId="21" borderId="32" xfId="0" applyNumberFormat="1" applyFont="1" applyFill="1" applyBorder="1" applyAlignment="1">
      <alignment horizontal="center" vertical="center"/>
    </xf>
    <xf numFmtId="1" fontId="23" fillId="21" borderId="32" xfId="0" applyNumberFormat="1" applyFont="1" applyFill="1" applyBorder="1" applyAlignment="1">
      <alignment horizontal="center"/>
    </xf>
    <xf numFmtId="1" fontId="23" fillId="21" borderId="51" xfId="0" applyNumberFormat="1" applyFont="1" applyFill="1" applyBorder="1" applyAlignment="1">
      <alignment vertical="center"/>
    </xf>
    <xf numFmtId="1" fontId="23" fillId="21" borderId="30" xfId="0" applyNumberFormat="1" applyFont="1" applyFill="1" applyBorder="1" applyAlignment="1">
      <alignment vertical="center"/>
    </xf>
    <xf numFmtId="1" fontId="23" fillId="21" borderId="52" xfId="0" applyNumberFormat="1" applyFont="1" applyFill="1" applyBorder="1" applyAlignment="1">
      <alignment vertical="center"/>
    </xf>
    <xf numFmtId="1" fontId="24" fillId="21" borderId="32" xfId="0" applyNumberFormat="1" applyFont="1" applyFill="1" applyBorder="1" applyAlignment="1">
      <alignment horizontal="right" vertical="center"/>
    </xf>
    <xf numFmtId="49" fontId="23" fillId="21" borderId="51" xfId="0" applyNumberFormat="1" applyFont="1" applyFill="1" applyBorder="1" applyAlignment="1">
      <alignment horizontal="right" vertical="center"/>
    </xf>
    <xf numFmtId="49" fontId="23" fillId="21" borderId="30" xfId="0" applyNumberFormat="1" applyFont="1" applyFill="1" applyBorder="1" applyAlignment="1">
      <alignment horizontal="right" vertical="center"/>
    </xf>
    <xf numFmtId="49" fontId="24" fillId="21" borderId="31" xfId="0" applyNumberFormat="1" applyFont="1" applyFill="1" applyBorder="1" applyAlignment="1">
      <alignment horizontal="right" vertical="center"/>
    </xf>
    <xf numFmtId="1" fontId="23" fillId="21" borderId="31" xfId="0" applyNumberFormat="1" applyFont="1" applyFill="1" applyBorder="1" applyAlignment="1">
      <alignment vertical="center"/>
    </xf>
    <xf numFmtId="49" fontId="24" fillId="21" borderId="53" xfId="0" applyNumberFormat="1" applyFont="1" applyFill="1" applyBorder="1" applyAlignment="1">
      <alignment horizontal="right"/>
    </xf>
    <xf numFmtId="1" fontId="23" fillId="21" borderId="53" xfId="0" applyNumberFormat="1" applyFont="1" applyFill="1" applyBorder="1" applyAlignment="1">
      <alignment vertical="center"/>
    </xf>
    <xf numFmtId="49" fontId="24" fillId="21" borderId="53" xfId="0" applyNumberFormat="1" applyFont="1" applyFill="1" applyBorder="1" applyAlignment="1">
      <alignment horizontal="right" vertical="center"/>
    </xf>
    <xf numFmtId="49" fontId="23" fillId="21" borderId="51" xfId="0" applyNumberFormat="1" applyFont="1" applyFill="1" applyBorder="1" applyAlignment="1">
      <alignment vertical="center"/>
    </xf>
    <xf numFmtId="1" fontId="27" fillId="21" borderId="51" xfId="0" applyNumberFormat="1" applyFont="1" applyFill="1" applyBorder="1" applyAlignment="1">
      <alignment vertical="center"/>
    </xf>
    <xf numFmtId="1" fontId="27" fillId="21" borderId="30" xfId="0" applyNumberFormat="1" applyFont="1" applyFill="1" applyBorder="1" applyAlignment="1">
      <alignment vertical="center"/>
    </xf>
    <xf numFmtId="1" fontId="27" fillId="21" borderId="52" xfId="0" applyNumberFormat="1" applyFont="1" applyFill="1" applyBorder="1" applyAlignment="1">
      <alignment vertical="center"/>
    </xf>
    <xf numFmtId="1" fontId="23" fillId="21" borderId="32" xfId="0" applyNumberFormat="1" applyFont="1" applyFill="1" applyBorder="1" applyAlignment="1">
      <alignment horizontal="left" wrapText="1"/>
    </xf>
    <xf numFmtId="1" fontId="24" fillId="21" borderId="32" xfId="0" applyNumberFormat="1" applyFont="1" applyFill="1" applyBorder="1" applyAlignment="1">
      <alignment horizontal="center" vertical="center" wrapText="1"/>
    </xf>
    <xf numFmtId="49" fontId="24" fillId="21" borderId="32" xfId="0" applyNumberFormat="1" applyFont="1" applyFill="1" applyBorder="1" applyAlignment="1">
      <alignment horizontal="center" vertical="center" wrapText="1"/>
    </xf>
    <xf numFmtId="1" fontId="24" fillId="21" borderId="32" xfId="0" applyNumberFormat="1" applyFont="1" applyFill="1" applyBorder="1" applyAlignment="1">
      <alignment horizontal="center" vertical="center"/>
    </xf>
    <xf numFmtId="0" fontId="0" fillId="21" borderId="54" xfId="0" applyFont="1" applyFill="1" applyBorder="1" applyAlignment="1">
      <alignment/>
    </xf>
    <xf numFmtId="1" fontId="0" fillId="21" borderId="52" xfId="0" applyNumberFormat="1" applyFont="1" applyFill="1" applyBorder="1" applyAlignment="1">
      <alignment vertical="center"/>
    </xf>
    <xf numFmtId="1" fontId="28" fillId="21" borderId="51" xfId="0" applyNumberFormat="1" applyFont="1" applyFill="1" applyBorder="1" applyAlignment="1">
      <alignment vertical="center"/>
    </xf>
    <xf numFmtId="1" fontId="2" fillId="21" borderId="30" xfId="0" applyNumberFormat="1" applyFont="1" applyFill="1" applyBorder="1" applyAlignment="1">
      <alignment vertical="center"/>
    </xf>
    <xf numFmtId="1" fontId="28" fillId="21" borderId="52" xfId="0" applyNumberFormat="1" applyFont="1" applyFill="1" applyBorder="1" applyAlignment="1">
      <alignment vertical="center"/>
    </xf>
    <xf numFmtId="49" fontId="23" fillId="21" borderId="51" xfId="0" applyNumberFormat="1" applyFont="1" applyFill="1" applyBorder="1" applyAlignment="1">
      <alignment horizontal="left" vertical="center"/>
    </xf>
    <xf numFmtId="1" fontId="23" fillId="21" borderId="30" xfId="0" applyNumberFormat="1" applyFont="1" applyFill="1" applyBorder="1" applyAlignment="1">
      <alignment horizontal="left" vertical="center"/>
    </xf>
    <xf numFmtId="1" fontId="28" fillId="21" borderId="30" xfId="0" applyNumberFormat="1" applyFont="1" applyFill="1" applyBorder="1" applyAlignment="1">
      <alignment vertical="center"/>
    </xf>
    <xf numFmtId="49" fontId="23" fillId="17" borderId="28" xfId="0" applyNumberFormat="1" applyFont="1" applyFill="1" applyBorder="1" applyAlignment="1">
      <alignment horizontal="left" vertical="center"/>
    </xf>
    <xf numFmtId="1" fontId="23" fillId="17" borderId="29" xfId="0" applyNumberFormat="1" applyFont="1" applyFill="1" applyBorder="1" applyAlignment="1">
      <alignment horizontal="left" vertical="center"/>
    </xf>
    <xf numFmtId="1" fontId="0" fillId="17" borderId="29" xfId="0" applyNumberFormat="1" applyFont="1" applyFill="1" applyBorder="1" applyAlignment="1">
      <alignment vertical="center"/>
    </xf>
    <xf numFmtId="49" fontId="0" fillId="17" borderId="29" xfId="0" applyNumberFormat="1" applyFont="1" applyFill="1" applyBorder="1" applyAlignment="1">
      <alignment vertical="center"/>
    </xf>
    <xf numFmtId="49" fontId="29" fillId="17" borderId="29" xfId="0" applyNumberFormat="1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/>
    </xf>
    <xf numFmtId="0" fontId="0" fillId="17" borderId="55" xfId="0" applyFont="1" applyFill="1" applyBorder="1" applyAlignment="1">
      <alignment/>
    </xf>
    <xf numFmtId="0" fontId="0" fillId="17" borderId="12" xfId="0" applyFont="1" applyFill="1" applyBorder="1" applyAlignment="1">
      <alignment vertical="center"/>
    </xf>
    <xf numFmtId="1" fontId="23" fillId="17" borderId="0" xfId="0" applyNumberFormat="1" applyFont="1" applyFill="1" applyBorder="1" applyAlignment="1">
      <alignment horizontal="center"/>
    </xf>
    <xf numFmtId="49" fontId="23" fillId="17" borderId="0" xfId="0" applyNumberFormat="1" applyFont="1" applyFill="1" applyBorder="1" applyAlignment="1">
      <alignment horizontal="left" vertical="center"/>
    </xf>
    <xf numFmtId="1" fontId="23" fillId="17" borderId="0" xfId="0" applyNumberFormat="1" applyFont="1" applyFill="1" applyBorder="1" applyAlignment="1">
      <alignment horizontal="left" vertical="center"/>
    </xf>
    <xf numFmtId="1" fontId="0" fillId="17" borderId="0" xfId="0" applyNumberFormat="1" applyFont="1" applyFill="1" applyBorder="1" applyAlignment="1">
      <alignment vertical="center"/>
    </xf>
    <xf numFmtId="49" fontId="23" fillId="17" borderId="0" xfId="0" applyNumberFormat="1" applyFont="1" applyFill="1" applyBorder="1" applyAlignment="1">
      <alignment horizontal="center" vertical="center"/>
    </xf>
    <xf numFmtId="1" fontId="30" fillId="17" borderId="0" xfId="0" applyNumberFormat="1" applyFont="1" applyFill="1" applyBorder="1" applyAlignment="1">
      <alignment horizontal="center" vertical="center"/>
    </xf>
    <xf numFmtId="49" fontId="27" fillId="17" borderId="0" xfId="0" applyNumberFormat="1" applyFont="1" applyFill="1" applyBorder="1" applyAlignment="1">
      <alignment horizontal="center" vertical="center"/>
    </xf>
    <xf numFmtId="1" fontId="0" fillId="17" borderId="0" xfId="0" applyNumberFormat="1" applyFont="1" applyFill="1" applyBorder="1" applyAlignment="1">
      <alignment horizontal="center"/>
    </xf>
    <xf numFmtId="1" fontId="23" fillId="17" borderId="0" xfId="0" applyNumberFormat="1" applyFont="1" applyFill="1" applyBorder="1" applyAlignment="1">
      <alignment horizontal="center" vertical="center"/>
    </xf>
    <xf numFmtId="1" fontId="30" fillId="17" borderId="0" xfId="0" applyNumberFormat="1" applyFont="1" applyFill="1" applyBorder="1" applyAlignment="1">
      <alignment horizontal="center"/>
    </xf>
    <xf numFmtId="1" fontId="31" fillId="17" borderId="0" xfId="0" applyNumberFormat="1" applyFont="1" applyFill="1" applyBorder="1" applyAlignment="1">
      <alignment horizontal="center"/>
    </xf>
    <xf numFmtId="49" fontId="30" fillId="17" borderId="0" xfId="0" applyNumberFormat="1" applyFont="1" applyFill="1" applyBorder="1" applyAlignment="1">
      <alignment horizontal="center" vertical="center"/>
    </xf>
    <xf numFmtId="1" fontId="23" fillId="17" borderId="15" xfId="0" applyNumberFormat="1" applyFont="1" applyFill="1" applyBorder="1" applyAlignment="1">
      <alignment horizontal="center" vertical="center"/>
    </xf>
    <xf numFmtId="0" fontId="0" fillId="17" borderId="0" xfId="0" applyNumberFormat="1" applyFont="1" applyFill="1" applyAlignment="1">
      <alignment/>
    </xf>
    <xf numFmtId="0" fontId="0" fillId="0" borderId="0" xfId="0" applyNumberFormat="1" applyFont="1" applyBorder="1" applyAlignment="1">
      <alignment/>
    </xf>
    <xf numFmtId="0" fontId="0" fillId="17" borderId="56" xfId="0" applyFont="1" applyFill="1" applyBorder="1" applyAlignment="1">
      <alignment/>
    </xf>
    <xf numFmtId="1" fontId="0" fillId="17" borderId="10" xfId="0" applyNumberFormat="1" applyFont="1" applyFill="1" applyBorder="1" applyAlignment="1">
      <alignment/>
    </xf>
    <xf numFmtId="0" fontId="0" fillId="17" borderId="45" xfId="0" applyFont="1" applyFill="1" applyBorder="1" applyAlignment="1">
      <alignment/>
    </xf>
    <xf numFmtId="164" fontId="0" fillId="17" borderId="0" xfId="0" applyNumberFormat="1" applyFont="1" applyFill="1" applyBorder="1" applyAlignment="1">
      <alignment/>
    </xf>
    <xf numFmtId="0" fontId="0" fillId="17" borderId="33" xfId="0" applyFont="1" applyFill="1" applyBorder="1" applyAlignment="1">
      <alignment/>
    </xf>
    <xf numFmtId="0" fontId="0" fillId="21" borderId="28" xfId="0" applyFont="1" applyFill="1" applyBorder="1" applyAlignment="1">
      <alignment/>
    </xf>
    <xf numFmtId="0" fontId="0" fillId="21" borderId="29" xfId="0" applyFont="1" applyFill="1" applyBorder="1" applyAlignment="1">
      <alignment/>
    </xf>
    <xf numFmtId="49" fontId="22" fillId="36" borderId="30" xfId="0" applyNumberFormat="1" applyFont="1" applyFill="1" applyBorder="1" applyAlignment="1">
      <alignment horizontal="center" vertical="center"/>
    </xf>
    <xf numFmtId="0" fontId="0" fillId="21" borderId="57" xfId="0" applyFont="1" applyFill="1" applyBorder="1" applyAlignment="1">
      <alignment/>
    </xf>
    <xf numFmtId="0" fontId="0" fillId="21" borderId="25" xfId="0" applyFont="1" applyFill="1" applyBorder="1" applyAlignment="1">
      <alignment/>
    </xf>
    <xf numFmtId="1" fontId="22" fillId="36" borderId="30" xfId="0" applyNumberFormat="1" applyFont="1" applyFill="1" applyBorder="1" applyAlignment="1">
      <alignment horizontal="center" vertical="center"/>
    </xf>
    <xf numFmtId="164" fontId="23" fillId="17" borderId="0" xfId="0" applyNumberFormat="1" applyFont="1" applyFill="1" applyBorder="1" applyAlignment="1">
      <alignment horizontal="right"/>
    </xf>
    <xf numFmtId="1" fontId="23" fillId="17" borderId="0" xfId="0" applyNumberFormat="1" applyFont="1" applyFill="1" applyBorder="1" applyAlignment="1">
      <alignment horizontal="right"/>
    </xf>
    <xf numFmtId="49" fontId="22" fillId="36" borderId="32" xfId="0" applyNumberFormat="1" applyFont="1" applyFill="1" applyBorder="1" applyAlignment="1">
      <alignment horizontal="center" vertical="center"/>
    </xf>
    <xf numFmtId="49" fontId="22" fillId="36" borderId="51" xfId="0" applyNumberFormat="1" applyFont="1" applyFill="1" applyBorder="1" applyAlignment="1">
      <alignment horizontal="left" vertical="center"/>
    </xf>
    <xf numFmtId="1" fontId="22" fillId="36" borderId="30" xfId="0" applyNumberFormat="1" applyFont="1" applyFill="1" applyBorder="1" applyAlignment="1">
      <alignment horizontal="left" vertical="center"/>
    </xf>
    <xf numFmtId="1" fontId="22" fillId="36" borderId="52" xfId="0" applyNumberFormat="1" applyFont="1" applyFill="1" applyBorder="1" applyAlignment="1">
      <alignment horizontal="left" vertical="center"/>
    </xf>
    <xf numFmtId="49" fontId="22" fillId="36" borderId="51" xfId="0" applyNumberFormat="1" applyFont="1" applyFill="1" applyBorder="1" applyAlignment="1">
      <alignment vertical="center"/>
    </xf>
    <xf numFmtId="49" fontId="22" fillId="36" borderId="52" xfId="0" applyNumberFormat="1" applyFont="1" applyFill="1" applyBorder="1" applyAlignment="1">
      <alignment vertical="center"/>
    </xf>
    <xf numFmtId="1" fontId="2" fillId="36" borderId="32" xfId="0" applyNumberFormat="1" applyFont="1" applyFill="1" applyBorder="1" applyAlignment="1">
      <alignment vertical="center"/>
    </xf>
    <xf numFmtId="49" fontId="22" fillId="36" borderId="51" xfId="0" applyNumberFormat="1" applyFont="1" applyFill="1" applyBorder="1" applyAlignment="1">
      <alignment horizontal="center" vertical="center"/>
    </xf>
    <xf numFmtId="49" fontId="22" fillId="36" borderId="30" xfId="0" applyNumberFormat="1" applyFont="1" applyFill="1" applyBorder="1" applyAlignment="1">
      <alignment horizontal="left" vertical="center"/>
    </xf>
    <xf numFmtId="49" fontId="22" fillId="36" borderId="30" xfId="0" applyNumberFormat="1" applyFont="1" applyFill="1" applyBorder="1" applyAlignment="1">
      <alignment vertical="center"/>
    </xf>
    <xf numFmtId="1" fontId="2" fillId="36" borderId="52" xfId="0" applyNumberFormat="1" applyFont="1" applyFill="1" applyBorder="1" applyAlignment="1">
      <alignment vertical="center"/>
    </xf>
    <xf numFmtId="49" fontId="2" fillId="36" borderId="52" xfId="0" applyNumberFormat="1" applyFont="1" applyFill="1" applyBorder="1" applyAlignment="1">
      <alignment vertical="center"/>
    </xf>
    <xf numFmtId="1" fontId="22" fillId="36" borderId="32" xfId="0" applyNumberFormat="1" applyFont="1" applyFill="1" applyBorder="1" applyAlignment="1">
      <alignment horizontal="center"/>
    </xf>
    <xf numFmtId="1" fontId="22" fillId="36" borderId="51" xfId="0" applyNumberFormat="1" applyFont="1" applyFill="1" applyBorder="1" applyAlignment="1">
      <alignment vertical="center"/>
    </xf>
    <xf numFmtId="1" fontId="22" fillId="36" borderId="52" xfId="0" applyNumberFormat="1" applyFont="1" applyFill="1" applyBorder="1" applyAlignment="1">
      <alignment vertical="center"/>
    </xf>
    <xf numFmtId="49" fontId="22" fillId="21" borderId="51" xfId="0" applyNumberFormat="1" applyFont="1" applyFill="1" applyBorder="1" applyAlignment="1">
      <alignment vertical="center"/>
    </xf>
    <xf numFmtId="1" fontId="22" fillId="17" borderId="51" xfId="0" applyNumberFormat="1" applyFont="1" applyFill="1" applyBorder="1" applyAlignment="1">
      <alignment vertical="center"/>
    </xf>
    <xf numFmtId="1" fontId="22" fillId="17" borderId="52" xfId="0" applyNumberFormat="1" applyFont="1" applyFill="1" applyBorder="1" applyAlignment="1">
      <alignment vertical="center"/>
    </xf>
    <xf numFmtId="1" fontId="2" fillId="36" borderId="51" xfId="0" applyNumberFormat="1" applyFont="1" applyFill="1" applyBorder="1" applyAlignment="1">
      <alignment vertical="center"/>
    </xf>
    <xf numFmtId="1" fontId="2" fillId="36" borderId="30" xfId="0" applyNumberFormat="1" applyFont="1" applyFill="1" applyBorder="1" applyAlignment="1">
      <alignment vertical="center"/>
    </xf>
    <xf numFmtId="49" fontId="22" fillId="36" borderId="58" xfId="0" applyNumberFormat="1" applyFont="1" applyFill="1" applyBorder="1" applyAlignment="1">
      <alignment horizontal="center" vertical="center"/>
    </xf>
    <xf numFmtId="49" fontId="21" fillId="17" borderId="28" xfId="0" applyNumberFormat="1" applyFont="1" applyFill="1" applyBorder="1" applyAlignment="1">
      <alignment vertical="center"/>
    </xf>
    <xf numFmtId="1" fontId="32" fillId="17" borderId="29" xfId="0" applyNumberFormat="1" applyFont="1" applyFill="1" applyBorder="1" applyAlignment="1">
      <alignment horizontal="left" vertical="center"/>
    </xf>
    <xf numFmtId="0" fontId="0" fillId="17" borderId="29" xfId="0" applyFont="1" applyFill="1" applyBorder="1" applyAlignment="1">
      <alignment vertical="center"/>
    </xf>
    <xf numFmtId="49" fontId="23" fillId="17" borderId="12" xfId="0" applyNumberFormat="1" applyFont="1" applyFill="1" applyBorder="1" applyAlignment="1">
      <alignment vertical="center"/>
    </xf>
    <xf numFmtId="1" fontId="23" fillId="17" borderId="0" xfId="0" applyNumberFormat="1" applyFont="1" applyFill="1" applyBorder="1" applyAlignment="1">
      <alignment vertical="center"/>
    </xf>
    <xf numFmtId="49" fontId="23" fillId="17" borderId="0" xfId="0" applyNumberFormat="1" applyFont="1" applyFill="1" applyBorder="1" applyAlignment="1">
      <alignment vertical="center"/>
    </xf>
    <xf numFmtId="49" fontId="27" fillId="17" borderId="0" xfId="0" applyNumberFormat="1" applyFont="1" applyFill="1" applyBorder="1" applyAlignment="1">
      <alignment vertical="center"/>
    </xf>
    <xf numFmtId="1" fontId="27" fillId="17" borderId="0" xfId="0" applyNumberFormat="1" applyFont="1" applyFill="1" applyBorder="1" applyAlignment="1">
      <alignment vertical="center"/>
    </xf>
    <xf numFmtId="1" fontId="27" fillId="17" borderId="0" xfId="0" applyNumberFormat="1" applyFont="1" applyFill="1" applyBorder="1" applyAlignment="1">
      <alignment horizontal="center" vertical="center"/>
    </xf>
    <xf numFmtId="49" fontId="30" fillId="17" borderId="12" xfId="0" applyNumberFormat="1" applyFont="1" applyFill="1" applyBorder="1" applyAlignment="1">
      <alignment vertical="center"/>
    </xf>
    <xf numFmtId="1" fontId="30" fillId="17" borderId="0" xfId="0" applyNumberFormat="1" applyFont="1" applyFill="1" applyBorder="1" applyAlignment="1">
      <alignment vertical="center"/>
    </xf>
    <xf numFmtId="0" fontId="0" fillId="21" borderId="47" xfId="0" applyFont="1" applyFill="1" applyBorder="1" applyAlignment="1">
      <alignment/>
    </xf>
    <xf numFmtId="1" fontId="21" fillId="21" borderId="47" xfId="0" applyNumberFormat="1" applyFont="1" applyFill="1" applyBorder="1" applyAlignment="1">
      <alignment wrapText="1"/>
    </xf>
    <xf numFmtId="1" fontId="21" fillId="21" borderId="59" xfId="0" applyNumberFormat="1" applyFont="1" applyFill="1" applyBorder="1" applyAlignment="1">
      <alignment wrapText="1"/>
    </xf>
    <xf numFmtId="1" fontId="21" fillId="17" borderId="45" xfId="0" applyNumberFormat="1" applyFont="1" applyFill="1" applyBorder="1" applyAlignment="1">
      <alignment wrapText="1"/>
    </xf>
    <xf numFmtId="1" fontId="0" fillId="17" borderId="10" xfId="0" applyNumberFormat="1" applyFont="1" applyFill="1" applyBorder="1" applyAlignment="1">
      <alignment horizontal="center" vertical="center"/>
    </xf>
    <xf numFmtId="49" fontId="0" fillId="17" borderId="10" xfId="0" applyNumberFormat="1" applyFont="1" applyFill="1" applyBorder="1" applyAlignment="1">
      <alignment horizontal="center" vertical="center"/>
    </xf>
    <xf numFmtId="1" fontId="0" fillId="17" borderId="11" xfId="0" applyNumberFormat="1" applyFont="1" applyFill="1" applyBorder="1" applyAlignment="1">
      <alignment horizontal="center" vertical="center"/>
    </xf>
    <xf numFmtId="1" fontId="21" fillId="17" borderId="45" xfId="0" applyNumberFormat="1" applyFont="1" applyFill="1" applyBorder="1" applyAlignment="1">
      <alignment horizontal="center" vertical="top" wrapText="1"/>
    </xf>
    <xf numFmtId="1" fontId="0" fillId="17" borderId="13" xfId="0" applyNumberFormat="1" applyFont="1" applyFill="1" applyBorder="1" applyAlignment="1">
      <alignment vertical="center"/>
    </xf>
    <xf numFmtId="1" fontId="23" fillId="17" borderId="33" xfId="0" applyNumberFormat="1" applyFont="1" applyFill="1" applyBorder="1" applyAlignment="1">
      <alignment horizontal="center" vertical="center"/>
    </xf>
    <xf numFmtId="164" fontId="34" fillId="17" borderId="0" xfId="0" applyNumberFormat="1" applyFont="1" applyFill="1" applyBorder="1" applyAlignment="1">
      <alignment horizontal="right"/>
    </xf>
    <xf numFmtId="49" fontId="23" fillId="21" borderId="30" xfId="0" applyNumberFormat="1" applyFont="1" applyFill="1" applyBorder="1" applyAlignment="1">
      <alignment horizontal="center" vertical="center"/>
    </xf>
    <xf numFmtId="1" fontId="21" fillId="17" borderId="0" xfId="0" applyNumberFormat="1" applyFont="1" applyFill="1" applyBorder="1" applyAlignment="1">
      <alignment/>
    </xf>
    <xf numFmtId="1" fontId="21" fillId="17" borderId="0" xfId="0" applyNumberFormat="1" applyFont="1" applyFill="1" applyBorder="1" applyAlignment="1">
      <alignment horizontal="center"/>
    </xf>
    <xf numFmtId="1" fontId="21" fillId="17" borderId="33" xfId="0" applyNumberFormat="1" applyFont="1" applyFill="1" applyBorder="1" applyAlignment="1">
      <alignment horizontal="center"/>
    </xf>
    <xf numFmtId="1" fontId="23" fillId="17" borderId="0" xfId="0" applyNumberFormat="1" applyFont="1" applyFill="1" applyBorder="1" applyAlignment="1">
      <alignment/>
    </xf>
    <xf numFmtId="1" fontId="21" fillId="17" borderId="0" xfId="0" applyNumberFormat="1" applyFont="1" applyFill="1" applyBorder="1" applyAlignment="1">
      <alignment horizontal="right"/>
    </xf>
    <xf numFmtId="1" fontId="23" fillId="17" borderId="13" xfId="0" applyNumberFormat="1" applyFont="1" applyFill="1" applyBorder="1" applyAlignment="1">
      <alignment horizontal="right"/>
    </xf>
    <xf numFmtId="1" fontId="24" fillId="21" borderId="30" xfId="0" applyNumberFormat="1" applyFont="1" applyFill="1" applyBorder="1" applyAlignment="1">
      <alignment horizontal="center" vertical="center"/>
    </xf>
    <xf numFmtId="1" fontId="24" fillId="21" borderId="52" xfId="0" applyNumberFormat="1" applyFont="1" applyFill="1" applyBorder="1" applyAlignment="1">
      <alignment horizontal="center" vertical="center"/>
    </xf>
    <xf numFmtId="49" fontId="24" fillId="21" borderId="51" xfId="0" applyNumberFormat="1" applyFont="1" applyFill="1" applyBorder="1" applyAlignment="1">
      <alignment vertical="center"/>
    </xf>
    <xf numFmtId="49" fontId="24" fillId="21" borderId="52" xfId="0" applyNumberFormat="1" applyFont="1" applyFill="1" applyBorder="1" applyAlignment="1">
      <alignment vertical="center"/>
    </xf>
    <xf numFmtId="1" fontId="7" fillId="4" borderId="32" xfId="0" applyNumberFormat="1" applyFont="1" applyFill="1" applyBorder="1" applyAlignment="1">
      <alignment vertical="center"/>
    </xf>
    <xf numFmtId="1" fontId="0" fillId="17" borderId="33" xfId="0" applyNumberFormat="1" applyFont="1" applyFill="1" applyBorder="1" applyAlignment="1">
      <alignment vertical="center"/>
    </xf>
    <xf numFmtId="49" fontId="0" fillId="21" borderId="32" xfId="0" applyNumberFormat="1" applyFont="1" applyFill="1" applyBorder="1" applyAlignment="1">
      <alignment vertical="center"/>
    </xf>
    <xf numFmtId="164" fontId="0" fillId="21" borderId="51" xfId="0" applyNumberFormat="1" applyFont="1" applyFill="1" applyBorder="1" applyAlignment="1">
      <alignment vertical="center"/>
    </xf>
    <xf numFmtId="49" fontId="0" fillId="21" borderId="52" xfId="0" applyNumberFormat="1" applyFont="1" applyFill="1" applyBorder="1" applyAlignment="1">
      <alignment vertical="center"/>
    </xf>
    <xf numFmtId="1" fontId="23" fillId="4" borderId="32" xfId="0" applyNumberFormat="1" applyFont="1" applyFill="1" applyBorder="1" applyAlignment="1">
      <alignment horizontal="center"/>
    </xf>
    <xf numFmtId="1" fontId="23" fillId="17" borderId="52" xfId="0" applyNumberFormat="1" applyFont="1" applyFill="1" applyBorder="1" applyAlignment="1">
      <alignment vertical="center"/>
    </xf>
    <xf numFmtId="1" fontId="23" fillId="17" borderId="33" xfId="0" applyNumberFormat="1" applyFont="1" applyFill="1" applyBorder="1" applyAlignment="1">
      <alignment horizontal="center"/>
    </xf>
    <xf numFmtId="49" fontId="27" fillId="21" borderId="51" xfId="0" applyNumberFormat="1" applyFont="1" applyFill="1" applyBorder="1" applyAlignment="1">
      <alignment horizontal="right" vertical="center"/>
    </xf>
    <xf numFmtId="1" fontId="0" fillId="21" borderId="51" xfId="0" applyNumberFormat="1" applyFont="1" applyFill="1" applyBorder="1" applyAlignment="1">
      <alignment vertical="center"/>
    </xf>
    <xf numFmtId="1" fontId="23" fillId="17" borderId="51" xfId="0" applyNumberFormat="1" applyFont="1" applyFill="1" applyBorder="1" applyAlignment="1">
      <alignment vertical="center"/>
    </xf>
    <xf numFmtId="49" fontId="23" fillId="21" borderId="32" xfId="0" applyNumberFormat="1" applyFont="1" applyFill="1" applyBorder="1" applyAlignment="1">
      <alignment horizontal="center" vertical="center"/>
    </xf>
    <xf numFmtId="49" fontId="23" fillId="21" borderId="30" xfId="0" applyNumberFormat="1" applyFont="1" applyFill="1" applyBorder="1" applyAlignment="1">
      <alignment vertical="center"/>
    </xf>
    <xf numFmtId="1" fontId="23" fillId="4" borderId="32" xfId="0" applyNumberFormat="1" applyFont="1" applyFill="1" applyBorder="1" applyAlignment="1">
      <alignment horizontal="left" wrapText="1"/>
    </xf>
    <xf numFmtId="1" fontId="23" fillId="17" borderId="0" xfId="0" applyNumberFormat="1" applyFont="1" applyFill="1" applyBorder="1" applyAlignment="1">
      <alignment horizontal="left" wrapText="1"/>
    </xf>
    <xf numFmtId="1" fontId="0" fillId="17" borderId="0" xfId="0" applyNumberFormat="1" applyFont="1" applyFill="1" applyBorder="1" applyAlignment="1">
      <alignment wrapText="1"/>
    </xf>
    <xf numFmtId="1" fontId="23" fillId="21" borderId="32" xfId="0" applyNumberFormat="1" applyFont="1" applyFill="1" applyBorder="1" applyAlignment="1">
      <alignment horizontal="right" vertical="center"/>
    </xf>
    <xf numFmtId="1" fontId="23" fillId="21" borderId="51" xfId="0" applyNumberFormat="1" applyFont="1" applyFill="1" applyBorder="1" applyAlignment="1">
      <alignment horizontal="right" vertical="center" wrapText="1"/>
    </xf>
    <xf numFmtId="49" fontId="0" fillId="21" borderId="52" xfId="0" applyNumberFormat="1" applyFont="1" applyFill="1" applyBorder="1" applyAlignment="1">
      <alignment vertical="center" wrapText="1"/>
    </xf>
    <xf numFmtId="1" fontId="0" fillId="17" borderId="33" xfId="0" applyNumberFormat="1" applyFont="1" applyFill="1" applyBorder="1" applyAlignment="1">
      <alignment/>
    </xf>
    <xf numFmtId="164" fontId="23" fillId="17" borderId="0" xfId="0" applyNumberFormat="1" applyFont="1" applyFill="1" applyBorder="1" applyAlignment="1">
      <alignment horizontal="center"/>
    </xf>
    <xf numFmtId="1" fontId="23" fillId="17" borderId="13" xfId="0" applyNumberFormat="1" applyFont="1" applyFill="1" applyBorder="1" applyAlignment="1">
      <alignment horizontal="center"/>
    </xf>
    <xf numFmtId="1" fontId="0" fillId="17" borderId="0" xfId="0" applyNumberFormat="1" applyFont="1" applyFill="1" applyBorder="1" applyAlignment="1">
      <alignment horizontal="right"/>
    </xf>
    <xf numFmtId="164" fontId="0" fillId="17" borderId="0" xfId="0" applyNumberFormat="1" applyFont="1" applyFill="1" applyBorder="1" applyAlignment="1">
      <alignment horizontal="right"/>
    </xf>
    <xf numFmtId="1" fontId="0" fillId="17" borderId="13" xfId="0" applyNumberFormat="1" applyFont="1" applyFill="1" applyBorder="1" applyAlignment="1">
      <alignment wrapText="1"/>
    </xf>
    <xf numFmtId="1" fontId="23" fillId="21" borderId="51" xfId="0" applyNumberFormat="1" applyFont="1" applyFill="1" applyBorder="1" applyAlignment="1">
      <alignment horizontal="right" vertical="center"/>
    </xf>
    <xf numFmtId="1" fontId="0" fillId="4" borderId="32" xfId="0" applyNumberFormat="1" applyFont="1" applyFill="1" applyBorder="1" applyAlignment="1">
      <alignment wrapText="1"/>
    </xf>
    <xf numFmtId="1" fontId="23" fillId="17" borderId="33" xfId="0" applyNumberFormat="1" applyFont="1" applyFill="1" applyBorder="1" applyAlignment="1">
      <alignment horizontal="left" wrapText="1"/>
    </xf>
    <xf numFmtId="49" fontId="23" fillId="21" borderId="52" xfId="0" applyNumberFormat="1" applyFont="1" applyFill="1" applyBorder="1" applyAlignment="1">
      <alignment horizontal="center" vertical="center"/>
    </xf>
    <xf numFmtId="49" fontId="21" fillId="17" borderId="29" xfId="0" applyNumberFormat="1" applyFont="1" applyFill="1" applyBorder="1" applyAlignment="1">
      <alignment vertical="center"/>
    </xf>
    <xf numFmtId="1" fontId="23" fillId="17" borderId="29" xfId="0" applyNumberFormat="1" applyFont="1" applyFill="1" applyBorder="1" applyAlignment="1">
      <alignment horizontal="center"/>
    </xf>
    <xf numFmtId="49" fontId="21" fillId="17" borderId="0" xfId="0" applyNumberFormat="1" applyFont="1" applyFill="1" applyBorder="1" applyAlignment="1">
      <alignment vertical="center"/>
    </xf>
    <xf numFmtId="49" fontId="23" fillId="17" borderId="0" xfId="0" applyNumberFormat="1" applyFont="1" applyFill="1" applyBorder="1" applyAlignment="1">
      <alignment horizontal="right" vertical="center"/>
    </xf>
    <xf numFmtId="1" fontId="0" fillId="17" borderId="15" xfId="0" applyNumberFormat="1" applyFont="1" applyFill="1" applyBorder="1" applyAlignment="1">
      <alignment/>
    </xf>
    <xf numFmtId="164" fontId="0" fillId="17" borderId="15" xfId="0" applyNumberFormat="1" applyFont="1" applyFill="1" applyBorder="1" applyAlignment="1">
      <alignment/>
    </xf>
    <xf numFmtId="1" fontId="21" fillId="17" borderId="12" xfId="0" applyNumberFormat="1" applyFont="1" applyFill="1" applyBorder="1" applyAlignment="1">
      <alignment horizontal="center" vertical="top"/>
    </xf>
    <xf numFmtId="1" fontId="0" fillId="17" borderId="0" xfId="0" applyNumberFormat="1" applyFont="1" applyFill="1" applyBorder="1" applyAlignment="1">
      <alignment vertical="center" wrapText="1"/>
    </xf>
    <xf numFmtId="164" fontId="0" fillId="17" borderId="0" xfId="0" applyNumberFormat="1" applyFont="1" applyFill="1" applyBorder="1" applyAlignment="1">
      <alignment vertical="center"/>
    </xf>
    <xf numFmtId="1" fontId="23" fillId="17" borderId="0" xfId="0" applyNumberFormat="1" applyFont="1" applyFill="1" applyBorder="1" applyAlignment="1">
      <alignment horizontal="right" vertical="center"/>
    </xf>
    <xf numFmtId="49" fontId="7" fillId="21" borderId="32" xfId="0" applyNumberFormat="1" applyFont="1" applyFill="1" applyBorder="1" applyAlignment="1">
      <alignment vertical="center"/>
    </xf>
    <xf numFmtId="49" fontId="24" fillId="21" borderId="51" xfId="0" applyNumberFormat="1" applyFont="1" applyFill="1" applyBorder="1" applyAlignment="1">
      <alignment horizontal="left" vertical="center"/>
    </xf>
    <xf numFmtId="1" fontId="24" fillId="21" borderId="30" xfId="0" applyNumberFormat="1" applyFont="1" applyFill="1" applyBorder="1" applyAlignment="1">
      <alignment horizontal="left" vertical="center"/>
    </xf>
    <xf numFmtId="1" fontId="24" fillId="21" borderId="52" xfId="0" applyNumberFormat="1" applyFont="1" applyFill="1" applyBorder="1" applyAlignment="1">
      <alignment horizontal="left" vertical="center"/>
    </xf>
    <xf numFmtId="1" fontId="0" fillId="17" borderId="0" xfId="0" applyNumberFormat="1" applyFont="1" applyFill="1" applyBorder="1" applyAlignment="1">
      <alignment horizontal="right" vertical="center"/>
    </xf>
    <xf numFmtId="1" fontId="0" fillId="4" borderId="32" xfId="0" applyNumberFormat="1" applyFont="1" applyFill="1" applyBorder="1" applyAlignment="1">
      <alignment vertical="center"/>
    </xf>
    <xf numFmtId="164" fontId="7" fillId="21" borderId="51" xfId="0" applyNumberFormat="1" applyFont="1" applyFill="1" applyBorder="1" applyAlignment="1">
      <alignment vertical="center"/>
    </xf>
    <xf numFmtId="49" fontId="7" fillId="21" borderId="52" xfId="0" applyNumberFormat="1" applyFont="1" applyFill="1" applyBorder="1" applyAlignment="1">
      <alignment vertical="center"/>
    </xf>
    <xf numFmtId="1" fontId="24" fillId="4" borderId="32" xfId="0" applyNumberFormat="1" applyFont="1" applyFill="1" applyBorder="1" applyAlignment="1">
      <alignment horizontal="center"/>
    </xf>
    <xf numFmtId="1" fontId="24" fillId="21" borderId="51" xfId="0" applyNumberFormat="1" applyFont="1" applyFill="1" applyBorder="1" applyAlignment="1">
      <alignment vertical="center"/>
    </xf>
    <xf numFmtId="1" fontId="24" fillId="21" borderId="52" xfId="0" applyNumberFormat="1" applyFont="1" applyFill="1" applyBorder="1" applyAlignment="1">
      <alignment vertical="center"/>
    </xf>
    <xf numFmtId="49" fontId="24" fillId="17" borderId="51" xfId="0" applyNumberFormat="1" applyFont="1" applyFill="1" applyBorder="1" applyAlignment="1">
      <alignment vertical="center"/>
    </xf>
    <xf numFmtId="1" fontId="24" fillId="17" borderId="52" xfId="0" applyNumberFormat="1" applyFont="1" applyFill="1" applyBorder="1" applyAlignment="1">
      <alignment vertical="center"/>
    </xf>
    <xf numFmtId="49" fontId="7" fillId="21" borderId="51" xfId="0" applyNumberFormat="1" applyFont="1" applyFill="1" applyBorder="1" applyAlignment="1">
      <alignment horizontal="right" vertical="center"/>
    </xf>
    <xf numFmtId="49" fontId="7" fillId="21" borderId="51" xfId="0" applyNumberFormat="1" applyFont="1" applyFill="1" applyBorder="1" applyAlignment="1">
      <alignment vertical="center"/>
    </xf>
    <xf numFmtId="1" fontId="24" fillId="17" borderId="51" xfId="0" applyNumberFormat="1" applyFont="1" applyFill="1" applyBorder="1" applyAlignment="1">
      <alignment vertical="center"/>
    </xf>
    <xf numFmtId="1" fontId="7" fillId="21" borderId="51" xfId="0" applyNumberFormat="1" applyFont="1" applyFill="1" applyBorder="1" applyAlignment="1">
      <alignment vertical="center"/>
    </xf>
    <xf numFmtId="1" fontId="24" fillId="21" borderId="51" xfId="0" applyNumberFormat="1" applyFont="1" applyFill="1" applyBorder="1" applyAlignment="1">
      <alignment horizontal="right" vertical="center" wrapText="1"/>
    </xf>
    <xf numFmtId="49" fontId="7" fillId="21" borderId="52" xfId="0" applyNumberFormat="1" applyFont="1" applyFill="1" applyBorder="1" applyAlignment="1">
      <alignment vertical="center" wrapText="1"/>
    </xf>
    <xf numFmtId="1" fontId="7" fillId="4" borderId="32" xfId="0" applyNumberFormat="1" applyFont="1" applyFill="1" applyBorder="1" applyAlignment="1">
      <alignment wrapText="1"/>
    </xf>
    <xf numFmtId="1" fontId="24" fillId="21" borderId="51" xfId="0" applyNumberFormat="1" applyFont="1" applyFill="1" applyBorder="1" applyAlignment="1">
      <alignment horizontal="right" vertical="center"/>
    </xf>
    <xf numFmtId="1" fontId="38" fillId="17" borderId="51" xfId="0" applyNumberFormat="1" applyFont="1" applyFill="1" applyBorder="1" applyAlignment="1">
      <alignment vertical="center"/>
    </xf>
    <xf numFmtId="1" fontId="7" fillId="21" borderId="30" xfId="0" applyNumberFormat="1" applyFont="1" applyFill="1" applyBorder="1" applyAlignment="1">
      <alignment vertical="center"/>
    </xf>
    <xf numFmtId="49" fontId="21" fillId="17" borderId="0" xfId="0" applyNumberFormat="1" applyFont="1" applyFill="1" applyBorder="1" applyAlignment="1">
      <alignment horizontal="left" vertical="center"/>
    </xf>
    <xf numFmtId="1" fontId="32" fillId="17" borderId="0" xfId="0" applyNumberFormat="1" applyFont="1" applyFill="1" applyBorder="1" applyAlignment="1">
      <alignment horizontal="center" vertical="center"/>
    </xf>
    <xf numFmtId="1" fontId="32" fillId="17" borderId="0" xfId="0" applyNumberFormat="1" applyFont="1" applyFill="1" applyBorder="1" applyAlignment="1">
      <alignment horizontal="left" vertical="center"/>
    </xf>
    <xf numFmtId="1" fontId="39" fillId="17" borderId="0" xfId="0" applyNumberFormat="1" applyFont="1" applyFill="1" applyBorder="1" applyAlignment="1">
      <alignment horizontal="center" vertical="center"/>
    </xf>
    <xf numFmtId="49" fontId="21" fillId="17" borderId="0" xfId="0" applyNumberFormat="1" applyFont="1" applyFill="1" applyBorder="1" applyAlignment="1">
      <alignment/>
    </xf>
    <xf numFmtId="49" fontId="39" fillId="17" borderId="0" xfId="0" applyNumberFormat="1" applyFont="1" applyFill="1" applyBorder="1" applyAlignment="1">
      <alignment vertical="center"/>
    </xf>
    <xf numFmtId="1" fontId="39" fillId="17" borderId="0" xfId="0" applyNumberFormat="1" applyFont="1" applyFill="1" applyBorder="1" applyAlignment="1">
      <alignment vertical="center"/>
    </xf>
    <xf numFmtId="164" fontId="39" fillId="17" borderId="0" xfId="0" applyNumberFormat="1" applyFont="1" applyFill="1" applyBorder="1" applyAlignment="1">
      <alignment horizontal="center" vertical="center"/>
    </xf>
    <xf numFmtId="164" fontId="23" fillId="17" borderId="0" xfId="0" applyNumberFormat="1" applyFont="1" applyFill="1" applyBorder="1" applyAlignment="1">
      <alignment horizontal="center" vertical="center"/>
    </xf>
    <xf numFmtId="1" fontId="23" fillId="17" borderId="0" xfId="0" applyNumberFormat="1" applyFont="1" applyFill="1" applyBorder="1" applyAlignment="1">
      <alignment vertical="center" wrapText="1"/>
    </xf>
    <xf numFmtId="164" fontId="23" fillId="17" borderId="10" xfId="0" applyNumberFormat="1" applyFont="1" applyFill="1" applyBorder="1" applyAlignment="1">
      <alignment horizontal="right"/>
    </xf>
    <xf numFmtId="1" fontId="23" fillId="17" borderId="10" xfId="0" applyNumberFormat="1" applyFont="1" applyFill="1" applyBorder="1" applyAlignment="1">
      <alignment horizontal="right"/>
    </xf>
    <xf numFmtId="1" fontId="30" fillId="17" borderId="10" xfId="0" applyNumberFormat="1" applyFont="1" applyFill="1" applyBorder="1" applyAlignment="1">
      <alignment horizontal="right"/>
    </xf>
    <xf numFmtId="1" fontId="30" fillId="17" borderId="0" xfId="0" applyNumberFormat="1" applyFont="1" applyFill="1" applyBorder="1" applyAlignment="1">
      <alignment horizontal="right"/>
    </xf>
    <xf numFmtId="1" fontId="23" fillId="21" borderId="28" xfId="0" applyNumberFormat="1" applyFont="1" applyFill="1" applyBorder="1" applyAlignment="1">
      <alignment horizontal="center" vertical="center"/>
    </xf>
    <xf numFmtId="1" fontId="23" fillId="21" borderId="29" xfId="0" applyNumberFormat="1" applyFont="1" applyFill="1" applyBorder="1" applyAlignment="1">
      <alignment horizontal="center" vertical="center"/>
    </xf>
    <xf numFmtId="1" fontId="40" fillId="21" borderId="57" xfId="0" applyNumberFormat="1" applyFont="1" applyFill="1" applyBorder="1" applyAlignment="1">
      <alignment horizontal="center" vertical="center"/>
    </xf>
    <xf numFmtId="1" fontId="40" fillId="21" borderId="25" xfId="0" applyNumberFormat="1" applyFont="1" applyFill="1" applyBorder="1" applyAlignment="1">
      <alignment horizontal="center" vertical="center"/>
    </xf>
    <xf numFmtId="49" fontId="7" fillId="21" borderId="30" xfId="0" applyNumberFormat="1" applyFont="1" applyFill="1" applyBorder="1" applyAlignment="1">
      <alignment vertical="center"/>
    </xf>
    <xf numFmtId="49" fontId="24" fillId="21" borderId="30" xfId="0" applyNumberFormat="1" applyFont="1" applyFill="1" applyBorder="1" applyAlignment="1">
      <alignment horizontal="center"/>
    </xf>
    <xf numFmtId="1" fontId="24" fillId="21" borderId="30" xfId="0" applyNumberFormat="1" applyFont="1" applyFill="1" applyBorder="1" applyAlignment="1">
      <alignment horizontal="center"/>
    </xf>
    <xf numFmtId="1" fontId="24" fillId="21" borderId="52" xfId="0" applyNumberFormat="1" applyFont="1" applyFill="1" applyBorder="1" applyAlignment="1">
      <alignment horizontal="center"/>
    </xf>
    <xf numFmtId="1" fontId="7" fillId="21" borderId="52" xfId="0" applyNumberFormat="1" applyFont="1" applyFill="1" applyBorder="1" applyAlignment="1">
      <alignment vertical="center"/>
    </xf>
    <xf numFmtId="1" fontId="30" fillId="17" borderId="0" xfId="0" applyNumberFormat="1" applyFont="1" applyFill="1" applyBorder="1" applyAlignment="1">
      <alignment/>
    </xf>
    <xf numFmtId="164" fontId="23" fillId="17" borderId="0" xfId="0" applyNumberFormat="1" applyFont="1" applyFill="1" applyBorder="1" applyAlignment="1">
      <alignment/>
    </xf>
    <xf numFmtId="0" fontId="7" fillId="21" borderId="58" xfId="0" applyFont="1" applyFill="1" applyBorder="1" applyAlignment="1">
      <alignment/>
    </xf>
    <xf numFmtId="0" fontId="7" fillId="21" borderId="30" xfId="0" applyFont="1" applyFill="1" applyBorder="1" applyAlignment="1">
      <alignment/>
    </xf>
    <xf numFmtId="1" fontId="24" fillId="4" borderId="30" xfId="0" applyNumberFormat="1" applyFont="1" applyFill="1" applyBorder="1" applyAlignment="1">
      <alignment horizontal="center"/>
    </xf>
    <xf numFmtId="1" fontId="23" fillId="17" borderId="29" xfId="0" applyNumberFormat="1" applyFont="1" applyFill="1" applyBorder="1" applyAlignment="1">
      <alignment horizontal="center" vertical="center"/>
    </xf>
    <xf numFmtId="49" fontId="23" fillId="17" borderId="29" xfId="0" applyNumberFormat="1" applyFont="1" applyFill="1" applyBorder="1" applyAlignment="1">
      <alignment vertical="center"/>
    </xf>
    <xf numFmtId="1" fontId="30" fillId="17" borderId="15" xfId="0" applyNumberFormat="1" applyFont="1" applyFill="1" applyBorder="1" applyAlignment="1">
      <alignment/>
    </xf>
    <xf numFmtId="0" fontId="2" fillId="17" borderId="60" xfId="0" applyFont="1" applyFill="1" applyBorder="1" applyAlignment="1">
      <alignment vertical="center"/>
    </xf>
    <xf numFmtId="0" fontId="2" fillId="17" borderId="61" xfId="0" applyFont="1" applyFill="1" applyBorder="1" applyAlignment="1">
      <alignment/>
    </xf>
    <xf numFmtId="49" fontId="2" fillId="17" borderId="62" xfId="0" applyNumberFormat="1" applyFont="1" applyFill="1" applyBorder="1" applyAlignment="1">
      <alignment vertical="top"/>
    </xf>
    <xf numFmtId="0" fontId="2" fillId="17" borderId="60" xfId="0" applyFont="1" applyFill="1" applyBorder="1" applyAlignment="1">
      <alignment vertical="top"/>
    </xf>
    <xf numFmtId="0" fontId="27" fillId="17" borderId="60" xfId="0" applyFont="1" applyFill="1" applyBorder="1" applyAlignment="1">
      <alignment vertical="center"/>
    </xf>
    <xf numFmtId="49" fontId="0" fillId="17" borderId="61" xfId="0" applyNumberFormat="1" applyFont="1" applyFill="1" applyBorder="1" applyAlignment="1">
      <alignment horizontal="left"/>
    </xf>
    <xf numFmtId="0" fontId="2" fillId="17" borderId="60" xfId="0" applyFont="1" applyFill="1" applyBorder="1" applyAlignment="1">
      <alignment/>
    </xf>
    <xf numFmtId="0" fontId="2" fillId="17" borderId="63" xfId="0" applyFont="1" applyFill="1" applyBorder="1" applyAlignment="1">
      <alignment vertical="center"/>
    </xf>
    <xf numFmtId="0" fontId="41" fillId="17" borderId="64" xfId="0" applyFont="1" applyFill="1" applyBorder="1" applyAlignment="1">
      <alignment horizontal="center"/>
    </xf>
    <xf numFmtId="0" fontId="42" fillId="17" borderId="64" xfId="0" applyFont="1" applyFill="1" applyBorder="1" applyAlignment="1">
      <alignment horizontal="center" vertical="center"/>
    </xf>
    <xf numFmtId="0" fontId="42" fillId="17" borderId="64" xfId="0" applyFont="1" applyFill="1" applyBorder="1" applyAlignment="1">
      <alignment horizontal="center"/>
    </xf>
    <xf numFmtId="49" fontId="18" fillId="21" borderId="65" xfId="0" applyNumberFormat="1" applyFont="1" applyFill="1" applyBorder="1" applyAlignment="1">
      <alignment horizontal="center" vertical="center"/>
    </xf>
    <xf numFmtId="0" fontId="2" fillId="21" borderId="66" xfId="0" applyNumberFormat="1" applyFont="1" applyFill="1" applyBorder="1" applyAlignment="1">
      <alignment horizontal="center" vertical="center"/>
    </xf>
    <xf numFmtId="49" fontId="2" fillId="21" borderId="42" xfId="0" applyNumberFormat="1" applyFont="1" applyFill="1" applyBorder="1" applyAlignment="1">
      <alignment vertical="center"/>
    </xf>
    <xf numFmtId="0" fontId="2" fillId="21" borderId="48" xfId="0" applyFont="1" applyFill="1" applyBorder="1" applyAlignment="1">
      <alignment vertical="center"/>
    </xf>
    <xf numFmtId="0" fontId="2" fillId="21" borderId="43" xfId="0" applyFont="1" applyFill="1" applyBorder="1" applyAlignment="1">
      <alignment vertical="center"/>
    </xf>
    <xf numFmtId="2" fontId="2" fillId="21" borderId="17" xfId="0" applyNumberFormat="1" applyFont="1" applyFill="1" applyBorder="1" applyAlignment="1">
      <alignment horizontal="center" vertical="center"/>
    </xf>
    <xf numFmtId="49" fontId="2" fillId="21" borderId="17" xfId="0" applyNumberFormat="1" applyFont="1" applyFill="1" applyBorder="1" applyAlignment="1">
      <alignment horizontal="center" vertical="center"/>
    </xf>
    <xf numFmtId="49" fontId="2" fillId="21" borderId="17" xfId="0" applyNumberFormat="1" applyFont="1" applyFill="1" applyBorder="1" applyAlignment="1">
      <alignment horizontal="left" vertical="center"/>
    </xf>
    <xf numFmtId="49" fontId="2" fillId="21" borderId="17" xfId="0" applyNumberFormat="1" applyFont="1" applyFill="1" applyBorder="1" applyAlignment="1">
      <alignment horizontal="center"/>
    </xf>
    <xf numFmtId="49" fontId="2" fillId="21" borderId="43" xfId="0" applyNumberFormat="1" applyFont="1" applyFill="1" applyBorder="1" applyAlignment="1">
      <alignment vertical="center"/>
    </xf>
    <xf numFmtId="0" fontId="2" fillId="17" borderId="17" xfId="0" applyFont="1" applyFill="1" applyBorder="1" applyAlignment="1">
      <alignment vertical="center"/>
    </xf>
    <xf numFmtId="0" fontId="2" fillId="17" borderId="42" xfId="0" applyFont="1" applyFill="1" applyBorder="1" applyAlignment="1">
      <alignment vertical="center"/>
    </xf>
    <xf numFmtId="0" fontId="2" fillId="17" borderId="48" xfId="0" applyFont="1" applyFill="1" applyBorder="1" applyAlignment="1">
      <alignment vertical="center"/>
    </xf>
    <xf numFmtId="49" fontId="2" fillId="21" borderId="17" xfId="0" applyNumberFormat="1" applyFont="1" applyFill="1" applyBorder="1" applyAlignment="1">
      <alignment horizontal="left" vertical="center" wrapText="1"/>
    </xf>
    <xf numFmtId="0" fontId="2" fillId="21" borderId="43" xfId="0" applyFont="1" applyFill="1" applyBorder="1" applyAlignment="1">
      <alignment vertical="center" wrapText="1"/>
    </xf>
    <xf numFmtId="0" fontId="2" fillId="21" borderId="17" xfId="0" applyNumberFormat="1" applyFont="1" applyFill="1" applyBorder="1" applyAlignment="1">
      <alignment horizontal="center" vertical="center" wrapText="1"/>
    </xf>
    <xf numFmtId="49" fontId="2" fillId="21" borderId="17" xfId="0" applyNumberFormat="1" applyFont="1" applyFill="1" applyBorder="1" applyAlignment="1">
      <alignment horizontal="center" vertical="center" wrapText="1"/>
    </xf>
    <xf numFmtId="0" fontId="2" fillId="21" borderId="17" xfId="0" applyNumberFormat="1" applyFont="1" applyFill="1" applyBorder="1" applyAlignment="1">
      <alignment horizontal="center" vertical="center"/>
    </xf>
    <xf numFmtId="0" fontId="0" fillId="21" borderId="66" xfId="0" applyFont="1" applyFill="1" applyBorder="1" applyAlignment="1">
      <alignment vertical="center"/>
    </xf>
    <xf numFmtId="0" fontId="0" fillId="21" borderId="42" xfId="0" applyFont="1" applyFill="1" applyBorder="1" applyAlignment="1">
      <alignment vertical="center"/>
    </xf>
    <xf numFmtId="0" fontId="0" fillId="21" borderId="48" xfId="0" applyFont="1" applyFill="1" applyBorder="1" applyAlignment="1">
      <alignment vertical="center"/>
    </xf>
    <xf numFmtId="49" fontId="0" fillId="21" borderId="48" xfId="0" applyNumberFormat="1" applyFont="1" applyFill="1" applyBorder="1" applyAlignment="1">
      <alignment vertical="center"/>
    </xf>
    <xf numFmtId="0" fontId="2" fillId="21" borderId="67" xfId="0" applyNumberFormat="1" applyFont="1" applyFill="1" applyBorder="1" applyAlignment="1">
      <alignment horizontal="center" vertical="center"/>
    </xf>
    <xf numFmtId="0" fontId="0" fillId="21" borderId="68" xfId="0" applyFont="1" applyFill="1" applyBorder="1" applyAlignment="1">
      <alignment vertical="center"/>
    </xf>
    <xf numFmtId="0" fontId="0" fillId="21" borderId="69" xfId="0" applyFont="1" applyFill="1" applyBorder="1" applyAlignment="1">
      <alignment vertical="center"/>
    </xf>
    <xf numFmtId="49" fontId="27" fillId="17" borderId="70" xfId="0" applyNumberFormat="1" applyFont="1" applyFill="1" applyBorder="1" applyAlignment="1">
      <alignment horizontal="left" vertical="center"/>
    </xf>
    <xf numFmtId="0" fontId="0" fillId="17" borderId="70" xfId="0" applyFont="1" applyFill="1" applyBorder="1" applyAlignment="1">
      <alignment/>
    </xf>
    <xf numFmtId="0" fontId="27" fillId="17" borderId="70" xfId="0" applyFont="1" applyFill="1" applyBorder="1" applyAlignment="1">
      <alignment horizontal="center" vertical="center"/>
    </xf>
    <xf numFmtId="49" fontId="27" fillId="17" borderId="70" xfId="0" applyNumberFormat="1" applyFont="1" applyFill="1" applyBorder="1" applyAlignment="1">
      <alignment horizontal="center" vertical="center"/>
    </xf>
    <xf numFmtId="0" fontId="2" fillId="17" borderId="70" xfId="0" applyFont="1" applyFill="1" applyBorder="1" applyAlignment="1">
      <alignment horizontal="center"/>
    </xf>
    <xf numFmtId="49" fontId="39" fillId="17" borderId="71" xfId="0" applyNumberFormat="1" applyFont="1" applyFill="1" applyBorder="1" applyAlignment="1">
      <alignment horizontal="center" vertical="center"/>
    </xf>
    <xf numFmtId="49" fontId="39" fillId="17" borderId="72" xfId="0" applyNumberFormat="1" applyFont="1" applyFill="1" applyBorder="1" applyAlignment="1">
      <alignment horizontal="center" vertical="center"/>
    </xf>
    <xf numFmtId="49" fontId="39" fillId="17" borderId="73" xfId="0" applyNumberFormat="1" applyFont="1" applyFill="1" applyBorder="1" applyAlignment="1">
      <alignment horizontal="center" vertical="center"/>
    </xf>
    <xf numFmtId="0" fontId="39" fillId="17" borderId="71" xfId="0" applyNumberFormat="1" applyFont="1" applyFill="1" applyBorder="1" applyAlignment="1">
      <alignment horizontal="center" vertical="center"/>
    </xf>
    <xf numFmtId="0" fontId="39" fillId="17" borderId="72" xfId="0" applyNumberFormat="1" applyFont="1" applyFill="1" applyBorder="1" applyAlignment="1">
      <alignment horizontal="center" vertical="center"/>
    </xf>
    <xf numFmtId="0" fontId="27" fillId="17" borderId="71" xfId="0" applyNumberFormat="1" applyFont="1" applyFill="1" applyBorder="1" applyAlignment="1">
      <alignment horizontal="center" vertical="center"/>
    </xf>
    <xf numFmtId="0" fontId="27" fillId="17" borderId="72" xfId="0" applyNumberFormat="1" applyFont="1" applyFill="1" applyBorder="1" applyAlignment="1">
      <alignment horizontal="center" vertical="center"/>
    </xf>
    <xf numFmtId="0" fontId="27" fillId="17" borderId="73" xfId="0" applyNumberFormat="1" applyFont="1" applyFill="1" applyBorder="1" applyAlignment="1">
      <alignment horizontal="center" vertical="center"/>
    </xf>
    <xf numFmtId="0" fontId="39" fillId="17" borderId="73" xfId="0" applyNumberFormat="1" applyFont="1" applyFill="1" applyBorder="1" applyAlignment="1">
      <alignment horizontal="center" vertical="center"/>
    </xf>
    <xf numFmtId="0" fontId="27" fillId="17" borderId="74" xfId="0" applyNumberFormat="1" applyFont="1" applyFill="1" applyBorder="1" applyAlignment="1">
      <alignment horizontal="center" vertical="center"/>
    </xf>
    <xf numFmtId="0" fontId="27" fillId="17" borderId="75" xfId="0" applyNumberFormat="1" applyFont="1" applyFill="1" applyBorder="1" applyAlignment="1">
      <alignment horizontal="center" vertical="center"/>
    </xf>
    <xf numFmtId="49" fontId="27" fillId="17" borderId="74" xfId="0" applyNumberFormat="1" applyFont="1" applyFill="1" applyBorder="1" applyAlignment="1">
      <alignment horizontal="center" vertical="center"/>
    </xf>
    <xf numFmtId="49" fontId="27" fillId="17" borderId="75" xfId="0" applyNumberFormat="1" applyFont="1" applyFill="1" applyBorder="1" applyAlignment="1">
      <alignment horizontal="center" vertical="center"/>
    </xf>
    <xf numFmtId="49" fontId="27" fillId="17" borderId="76" xfId="0" applyNumberFormat="1" applyFont="1" applyFill="1" applyBorder="1" applyAlignment="1">
      <alignment horizontal="center" vertical="center"/>
    </xf>
    <xf numFmtId="49" fontId="27" fillId="17" borderId="47" xfId="0" applyNumberFormat="1" applyFont="1" applyFill="1" applyBorder="1" applyAlignment="1">
      <alignment horizontal="center" vertical="center"/>
    </xf>
    <xf numFmtId="0" fontId="27" fillId="17" borderId="77" xfId="0" applyFont="1" applyFill="1" applyBorder="1" applyAlignment="1">
      <alignment horizontal="center" vertical="center"/>
    </xf>
    <xf numFmtId="0" fontId="27" fillId="17" borderId="78" xfId="0" applyFont="1" applyFill="1" applyBorder="1" applyAlignment="1">
      <alignment horizontal="center"/>
    </xf>
    <xf numFmtId="49" fontId="39" fillId="17" borderId="0" xfId="0" applyNumberFormat="1" applyFont="1" applyFill="1" applyBorder="1" applyAlignment="1">
      <alignment horizontal="center" vertical="center"/>
    </xf>
    <xf numFmtId="49" fontId="39" fillId="17" borderId="79" xfId="0" applyNumberFormat="1" applyFont="1" applyFill="1" applyBorder="1" applyAlignment="1">
      <alignment horizontal="center" vertical="center"/>
    </xf>
    <xf numFmtId="49" fontId="23" fillId="17" borderId="78" xfId="0" applyNumberFormat="1" applyFont="1" applyFill="1" applyBorder="1" applyAlignment="1">
      <alignment horizontal="center" vertical="center"/>
    </xf>
    <xf numFmtId="0" fontId="23" fillId="17" borderId="79" xfId="0" applyFont="1" applyFill="1" applyBorder="1" applyAlignment="1">
      <alignment horizontal="center"/>
    </xf>
    <xf numFmtId="0" fontId="2" fillId="17" borderId="76" xfId="0" applyFont="1" applyFill="1" applyBorder="1" applyAlignment="1">
      <alignment horizontal="center"/>
    </xf>
    <xf numFmtId="0" fontId="2" fillId="17" borderId="47" xfId="0" applyFont="1" applyFill="1" applyBorder="1" applyAlignment="1">
      <alignment horizontal="center"/>
    </xf>
    <xf numFmtId="0" fontId="27" fillId="17" borderId="0" xfId="0" applyFont="1" applyFill="1" applyBorder="1" applyAlignment="1">
      <alignment horizontal="center"/>
    </xf>
    <xf numFmtId="0" fontId="0" fillId="17" borderId="0" xfId="0" applyFont="1" applyFill="1" applyBorder="1" applyAlignment="1">
      <alignment horizontal="left" vertical="center"/>
    </xf>
    <xf numFmtId="0" fontId="2" fillId="17" borderId="0" xfId="0" applyFont="1" applyFill="1" applyBorder="1" applyAlignment="1">
      <alignment horizontal="center"/>
    </xf>
    <xf numFmtId="0" fontId="0" fillId="17" borderId="60" xfId="0" applyFont="1" applyFill="1" applyBorder="1" applyAlignment="1">
      <alignment vertical="center"/>
    </xf>
    <xf numFmtId="0" fontId="0" fillId="0" borderId="61" xfId="0" applyFont="1" applyBorder="1" applyAlignment="1">
      <alignment/>
    </xf>
    <xf numFmtId="49" fontId="0" fillId="17" borderId="62" xfId="0" applyNumberFormat="1" applyFont="1" applyFill="1" applyBorder="1" applyAlignment="1">
      <alignment vertical="top"/>
    </xf>
    <xf numFmtId="0" fontId="0" fillId="17" borderId="60" xfId="0" applyFont="1" applyFill="1" applyBorder="1" applyAlignment="1">
      <alignment/>
    </xf>
    <xf numFmtId="0" fontId="0" fillId="17" borderId="64" xfId="0" applyFont="1" applyFill="1" applyBorder="1" applyAlignment="1">
      <alignment horizontal="center" vertical="center"/>
    </xf>
    <xf numFmtId="0" fontId="0" fillId="17" borderId="64" xfId="0" applyFont="1" applyFill="1" applyBorder="1" applyAlignment="1">
      <alignment vertical="center"/>
    </xf>
    <xf numFmtId="0" fontId="18" fillId="21" borderId="80" xfId="0" applyFont="1" applyFill="1" applyBorder="1" applyAlignment="1">
      <alignment horizontal="center" vertical="center"/>
    </xf>
    <xf numFmtId="49" fontId="2" fillId="21" borderId="66" xfId="0" applyNumberFormat="1" applyFont="1" applyFill="1" applyBorder="1" applyAlignment="1">
      <alignment horizontal="center" vertical="center"/>
    </xf>
    <xf numFmtId="0" fontId="27" fillId="17" borderId="17" xfId="0" applyFont="1" applyFill="1" applyBorder="1" applyAlignment="1">
      <alignment horizontal="center" vertical="center"/>
    </xf>
    <xf numFmtId="0" fontId="27" fillId="17" borderId="17" xfId="0" applyFont="1" applyFill="1" applyBorder="1" applyAlignment="1">
      <alignment vertical="center"/>
    </xf>
    <xf numFmtId="0" fontId="27" fillId="17" borderId="17" xfId="0" applyFont="1" applyFill="1" applyBorder="1" applyAlignment="1">
      <alignment horizontal="left" vertical="top"/>
    </xf>
    <xf numFmtId="49" fontId="42" fillId="17" borderId="70" xfId="0" applyNumberFormat="1" applyFont="1" applyFill="1" applyBorder="1" applyAlignment="1">
      <alignment vertical="center"/>
    </xf>
    <xf numFmtId="0" fontId="27" fillId="17" borderId="70" xfId="0" applyFont="1" applyFill="1" applyBorder="1" applyAlignment="1">
      <alignment horizontal="left" vertical="center"/>
    </xf>
    <xf numFmtId="0" fontId="44" fillId="17" borderId="70" xfId="0" applyFont="1" applyFill="1" applyBorder="1" applyAlignment="1">
      <alignment horizontal="left" vertical="center"/>
    </xf>
    <xf numFmtId="0" fontId="2" fillId="17" borderId="70" xfId="0" applyFont="1" applyFill="1" applyBorder="1" applyAlignment="1">
      <alignment/>
    </xf>
    <xf numFmtId="0" fontId="27" fillId="17" borderId="7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7" fillId="17" borderId="0" xfId="0" applyFont="1" applyFill="1" applyBorder="1" applyAlignment="1">
      <alignment horizontal="center" vertical="center"/>
    </xf>
    <xf numFmtId="0" fontId="2" fillId="17" borderId="0" xfId="0" applyFont="1" applyFill="1" applyBorder="1" applyAlignment="1">
      <alignment/>
    </xf>
    <xf numFmtId="49" fontId="39" fillId="17" borderId="17" xfId="0" applyNumberFormat="1" applyFont="1" applyFill="1" applyBorder="1" applyAlignment="1">
      <alignment horizontal="center" vertical="center"/>
    </xf>
    <xf numFmtId="49" fontId="39" fillId="17" borderId="43" xfId="0" applyNumberFormat="1" applyFont="1" applyFill="1" applyBorder="1" applyAlignment="1">
      <alignment horizontal="center" vertical="center"/>
    </xf>
    <xf numFmtId="0" fontId="39" fillId="17" borderId="17" xfId="0" applyFont="1" applyFill="1" applyBorder="1" applyAlignment="1">
      <alignment horizontal="center" vertical="center"/>
    </xf>
    <xf numFmtId="49" fontId="27" fillId="17" borderId="43" xfId="0" applyNumberFormat="1" applyFont="1" applyFill="1" applyBorder="1" applyAlignment="1">
      <alignment horizontal="center" vertical="center"/>
    </xf>
    <xf numFmtId="0" fontId="39" fillId="17" borderId="43" xfId="0" applyNumberFormat="1" applyFont="1" applyFill="1" applyBorder="1" applyAlignment="1">
      <alignment horizontal="center" vertical="center"/>
    </xf>
    <xf numFmtId="0" fontId="27" fillId="17" borderId="43" xfId="0" applyNumberFormat="1" applyFont="1" applyFill="1" applyBorder="1" applyAlignment="1">
      <alignment horizontal="center" vertical="center"/>
    </xf>
    <xf numFmtId="0" fontId="27" fillId="17" borderId="17" xfId="0" applyNumberFormat="1" applyFont="1" applyFill="1" applyBorder="1" applyAlignment="1">
      <alignment horizontal="center" vertical="center"/>
    </xf>
    <xf numFmtId="0" fontId="27" fillId="17" borderId="61" xfId="0" applyFont="1" applyFill="1" applyBorder="1" applyAlignment="1">
      <alignment vertical="center"/>
    </xf>
    <xf numFmtId="0" fontId="41" fillId="0" borderId="64" xfId="0" applyFont="1" applyBorder="1" applyAlignment="1">
      <alignment horizontal="center"/>
    </xf>
    <xf numFmtId="0" fontId="2" fillId="21" borderId="17" xfId="0" applyFont="1" applyFill="1" applyBorder="1" applyAlignment="1">
      <alignment horizontal="right" vertical="center"/>
    </xf>
    <xf numFmtId="0" fontId="0" fillId="17" borderId="43" xfId="0" applyFont="1" applyFill="1" applyBorder="1" applyAlignment="1">
      <alignment horizontal="center" vertical="center"/>
    </xf>
    <xf numFmtId="49" fontId="2" fillId="21" borderId="17" xfId="0" applyNumberFormat="1" applyFont="1" applyFill="1" applyBorder="1" applyAlignment="1">
      <alignment horizontal="right" vertical="center"/>
    </xf>
    <xf numFmtId="49" fontId="7" fillId="21" borderId="67" xfId="0" applyNumberFormat="1" applyFont="1" applyFill="1" applyBorder="1" applyAlignment="1">
      <alignment horizontal="center" vertical="center"/>
    </xf>
    <xf numFmtId="49" fontId="27" fillId="17" borderId="70" xfId="0" applyNumberFormat="1" applyFont="1" applyFill="1" applyBorder="1" applyAlignment="1">
      <alignment vertical="center"/>
    </xf>
    <xf numFmtId="0" fontId="0" fillId="17" borderId="70" xfId="0" applyFont="1" applyFill="1" applyBorder="1" applyAlignment="1">
      <alignment horizontal="left" vertical="center"/>
    </xf>
    <xf numFmtId="0" fontId="10" fillId="17" borderId="70" xfId="0" applyFont="1" applyFill="1" applyBorder="1" applyAlignment="1">
      <alignment horizontal="left" vertical="center"/>
    </xf>
    <xf numFmtId="0" fontId="0" fillId="17" borderId="70" xfId="0" applyFont="1" applyFill="1" applyBorder="1" applyAlignment="1">
      <alignment horizontal="right" vertical="center"/>
    </xf>
    <xf numFmtId="49" fontId="0" fillId="17" borderId="70" xfId="0" applyNumberFormat="1" applyFont="1" applyFill="1" applyBorder="1" applyAlignment="1">
      <alignment horizontal="left" vertical="center"/>
    </xf>
    <xf numFmtId="0" fontId="0" fillId="17" borderId="70" xfId="0" applyFont="1" applyFill="1" applyBorder="1" applyAlignment="1">
      <alignment horizontal="center"/>
    </xf>
    <xf numFmtId="49" fontId="27" fillId="17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17" borderId="0" xfId="0" applyNumberFormat="1" applyFont="1" applyFill="1" applyBorder="1" applyAlignment="1">
      <alignment horizontal="center" vertical="center"/>
    </xf>
    <xf numFmtId="0" fontId="0" fillId="17" borderId="41" xfId="0" applyFont="1" applyFill="1" applyBorder="1" applyAlignment="1">
      <alignment horizontal="center" vertical="center"/>
    </xf>
    <xf numFmtId="49" fontId="0" fillId="17" borderId="41" xfId="0" applyNumberFormat="1" applyFont="1" applyFill="1" applyBorder="1" applyAlignment="1">
      <alignment horizontal="center" vertical="center"/>
    </xf>
    <xf numFmtId="49" fontId="0" fillId="17" borderId="42" xfId="0" applyNumberFormat="1" applyFont="1" applyFill="1" applyBorder="1" applyAlignment="1">
      <alignment horizontal="center" vertical="center"/>
    </xf>
    <xf numFmtId="49" fontId="0" fillId="17" borderId="43" xfId="0" applyNumberFormat="1" applyFont="1" applyFill="1" applyBorder="1" applyAlignment="1">
      <alignment horizontal="center" vertical="center"/>
    </xf>
    <xf numFmtId="0" fontId="0" fillId="17" borderId="44" xfId="0" applyFont="1" applyFill="1" applyBorder="1" applyAlignment="1">
      <alignment horizontal="center" vertical="center"/>
    </xf>
    <xf numFmtId="49" fontId="0" fillId="17" borderId="17" xfId="0" applyNumberFormat="1" applyFont="1" applyFill="1" applyBorder="1" applyAlignment="1">
      <alignment horizontal="center" vertical="center"/>
    </xf>
    <xf numFmtId="0" fontId="0" fillId="17" borderId="44" xfId="0" applyFont="1" applyFill="1" applyBorder="1" applyAlignment="1">
      <alignment horizontal="center"/>
    </xf>
    <xf numFmtId="49" fontId="0" fillId="17" borderId="17" xfId="0" applyNumberFormat="1" applyFont="1" applyFill="1" applyBorder="1" applyAlignment="1">
      <alignment horizontal="center"/>
    </xf>
    <xf numFmtId="0" fontId="0" fillId="17" borderId="45" xfId="0" applyFont="1" applyFill="1" applyBorder="1" applyAlignment="1">
      <alignment horizontal="center"/>
    </xf>
    <xf numFmtId="0" fontId="0" fillId="17" borderId="42" xfId="0" applyNumberFormat="1" applyFont="1" applyFill="1" applyBorder="1" applyAlignment="1">
      <alignment horizontal="center" vertical="center"/>
    </xf>
    <xf numFmtId="0" fontId="0" fillId="17" borderId="43" xfId="0" applyNumberFormat="1" applyFont="1" applyFill="1" applyBorder="1" applyAlignment="1">
      <alignment horizontal="center" vertical="center"/>
    </xf>
    <xf numFmtId="49" fontId="11" fillId="17" borderId="17" xfId="0" applyNumberFormat="1" applyFont="1" applyFill="1" applyBorder="1" applyAlignment="1">
      <alignment horizontal="center" vertical="center"/>
    </xf>
    <xf numFmtId="0" fontId="11" fillId="17" borderId="17" xfId="0" applyNumberFormat="1" applyFont="1" applyFill="1" applyBorder="1" applyAlignment="1">
      <alignment horizontal="center" vertical="center"/>
    </xf>
    <xf numFmtId="0" fontId="0" fillId="17" borderId="44" xfId="0" applyFont="1" applyFill="1" applyBorder="1" applyAlignment="1">
      <alignment/>
    </xf>
    <xf numFmtId="164" fontId="11" fillId="17" borderId="17" xfId="0" applyNumberFormat="1" applyFont="1" applyFill="1" applyBorder="1" applyAlignment="1">
      <alignment horizontal="center" vertical="center"/>
    </xf>
    <xf numFmtId="0" fontId="0" fillId="17" borderId="17" xfId="0" applyNumberFormat="1" applyFont="1" applyFill="1" applyBorder="1" applyAlignment="1">
      <alignment horizontal="center" vertical="center"/>
    </xf>
    <xf numFmtId="164" fontId="0" fillId="17" borderId="17" xfId="0" applyNumberFormat="1" applyFont="1" applyFill="1" applyBorder="1" applyAlignment="1">
      <alignment horizontal="center" vertical="center"/>
    </xf>
    <xf numFmtId="0" fontId="11" fillId="17" borderId="42" xfId="0" applyNumberFormat="1" applyFont="1" applyFill="1" applyBorder="1" applyAlignment="1">
      <alignment horizontal="center" vertical="center"/>
    </xf>
    <xf numFmtId="0" fontId="11" fillId="17" borderId="43" xfId="0" applyNumberFormat="1" applyFont="1" applyFill="1" applyBorder="1" applyAlignment="1">
      <alignment horizontal="center" vertical="center"/>
    </xf>
    <xf numFmtId="0" fontId="0" fillId="17" borderId="45" xfId="0" applyFont="1" applyFill="1" applyBorder="1" applyAlignment="1">
      <alignment horizontal="center" vertical="center"/>
    </xf>
    <xf numFmtId="0" fontId="2" fillId="17" borderId="47" xfId="0" applyFont="1" applyFill="1" applyBorder="1" applyAlignment="1">
      <alignment/>
    </xf>
    <xf numFmtId="0" fontId="11" fillId="17" borderId="0" xfId="0" applyFont="1" applyFill="1" applyBorder="1" applyAlignment="1">
      <alignment horizontal="center" vertical="center"/>
    </xf>
    <xf numFmtId="164" fontId="11" fillId="17" borderId="0" xfId="0" applyNumberFormat="1" applyFont="1" applyFill="1" applyBorder="1" applyAlignment="1">
      <alignment horizontal="center" vertical="center"/>
    </xf>
    <xf numFmtId="164" fontId="0" fillId="17" borderId="0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/>
    </xf>
    <xf numFmtId="49" fontId="5" fillId="21" borderId="65" xfId="0" applyNumberFormat="1" applyFont="1" applyFill="1" applyBorder="1" applyAlignment="1">
      <alignment horizontal="center" vertical="center"/>
    </xf>
    <xf numFmtId="49" fontId="5" fillId="21" borderId="81" xfId="0" applyNumberFormat="1" applyFont="1" applyFill="1" applyBorder="1" applyAlignment="1">
      <alignment vertical="center"/>
    </xf>
    <xf numFmtId="0" fontId="5" fillId="21" borderId="80" xfId="0" applyFont="1" applyFill="1" applyBorder="1" applyAlignment="1">
      <alignment horizontal="center" vertical="center"/>
    </xf>
    <xf numFmtId="0" fontId="27" fillId="17" borderId="43" xfId="0" applyFont="1" applyFill="1" applyBorder="1" applyAlignment="1">
      <alignment horizontal="center" vertical="center"/>
    </xf>
    <xf numFmtId="0" fontId="2" fillId="21" borderId="17" xfId="0" applyNumberFormat="1" applyFont="1" applyFill="1" applyBorder="1" applyAlignment="1">
      <alignment horizontal="right" vertical="center"/>
    </xf>
    <xf numFmtId="0" fontId="2" fillId="21" borderId="17" xfId="0" applyNumberFormat="1" applyFont="1" applyFill="1" applyBorder="1" applyAlignment="1">
      <alignment horizontal="right" vertical="center" wrapText="1"/>
    </xf>
    <xf numFmtId="0" fontId="27" fillId="21" borderId="82" xfId="0" applyFont="1" applyFill="1" applyBorder="1" applyAlignment="1">
      <alignment horizontal="center" vertical="center"/>
    </xf>
    <xf numFmtId="0" fontId="27" fillId="21" borderId="48" xfId="0" applyFont="1" applyFill="1" applyBorder="1" applyAlignment="1">
      <alignment horizontal="left" vertical="center"/>
    </xf>
    <xf numFmtId="0" fontId="27" fillId="21" borderId="48" xfId="0" applyFont="1" applyFill="1" applyBorder="1" applyAlignment="1">
      <alignment horizontal="right" vertical="center"/>
    </xf>
    <xf numFmtId="49" fontId="27" fillId="21" borderId="48" xfId="0" applyNumberFormat="1" applyFont="1" applyFill="1" applyBorder="1" applyAlignment="1">
      <alignment horizontal="left" vertical="center"/>
    </xf>
    <xf numFmtId="0" fontId="27" fillId="21" borderId="68" xfId="0" applyFont="1" applyFill="1" applyBorder="1" applyAlignment="1">
      <alignment vertical="center"/>
    </xf>
    <xf numFmtId="0" fontId="27" fillId="21" borderId="69" xfId="0" applyFont="1" applyFill="1" applyBorder="1" applyAlignment="1">
      <alignment vertical="center"/>
    </xf>
    <xf numFmtId="0" fontId="27" fillId="21" borderId="69" xfId="0" applyFont="1" applyFill="1" applyBorder="1" applyAlignment="1">
      <alignment horizontal="right" vertical="center"/>
    </xf>
    <xf numFmtId="49" fontId="27" fillId="21" borderId="69" xfId="0" applyNumberFormat="1" applyFont="1" applyFill="1" applyBorder="1" applyAlignment="1">
      <alignment horizontal="left" vertical="center"/>
    </xf>
    <xf numFmtId="0" fontId="27" fillId="17" borderId="70" xfId="0" applyFont="1" applyFill="1" applyBorder="1" applyAlignment="1">
      <alignment horizontal="right" vertical="center"/>
    </xf>
    <xf numFmtId="49" fontId="42" fillId="17" borderId="0" xfId="0" applyNumberFormat="1" applyFont="1" applyFill="1" applyBorder="1" applyAlignment="1">
      <alignment horizontal="left" vertical="center"/>
    </xf>
    <xf numFmtId="0" fontId="44" fillId="17" borderId="0" xfId="0" applyFont="1" applyFill="1" applyBorder="1" applyAlignment="1">
      <alignment horizontal="left" vertical="center"/>
    </xf>
    <xf numFmtId="0" fontId="44" fillId="17" borderId="0" xfId="0" applyFont="1" applyFill="1" applyBorder="1" applyAlignment="1">
      <alignment horizontal="center" vertical="center"/>
    </xf>
    <xf numFmtId="0" fontId="27" fillId="17" borderId="0" xfId="0" applyFont="1" applyFill="1" applyBorder="1" applyAlignment="1">
      <alignment vertical="center"/>
    </xf>
    <xf numFmtId="0" fontId="39" fillId="17" borderId="41" xfId="0" applyFont="1" applyFill="1" applyBorder="1" applyAlignment="1">
      <alignment horizontal="right" vertical="center"/>
    </xf>
    <xf numFmtId="49" fontId="39" fillId="17" borderId="41" xfId="0" applyNumberFormat="1" applyFont="1" applyFill="1" applyBorder="1" applyAlignment="1">
      <alignment vertical="center"/>
    </xf>
    <xf numFmtId="0" fontId="39" fillId="17" borderId="41" xfId="0" applyFont="1" applyFill="1" applyBorder="1" applyAlignment="1">
      <alignment vertical="center"/>
    </xf>
    <xf numFmtId="49" fontId="39" fillId="17" borderId="42" xfId="0" applyNumberFormat="1" applyFont="1" applyFill="1" applyBorder="1" applyAlignment="1">
      <alignment horizontal="center" vertical="center"/>
    </xf>
    <xf numFmtId="49" fontId="39" fillId="17" borderId="83" xfId="0" applyNumberFormat="1" applyFont="1" applyFill="1" applyBorder="1" applyAlignment="1">
      <alignment horizontal="center" vertical="center"/>
    </xf>
    <xf numFmtId="49" fontId="39" fillId="17" borderId="82" xfId="0" applyNumberFormat="1" applyFont="1" applyFill="1" applyBorder="1" applyAlignment="1">
      <alignment horizontal="center" vertical="center"/>
    </xf>
    <xf numFmtId="49" fontId="27" fillId="17" borderId="42" xfId="0" applyNumberFormat="1" applyFont="1" applyFill="1" applyBorder="1" applyAlignment="1">
      <alignment horizontal="center" vertical="center"/>
    </xf>
    <xf numFmtId="0" fontId="27" fillId="17" borderId="42" xfId="0" applyNumberFormat="1" applyFont="1" applyFill="1" applyBorder="1" applyAlignment="1">
      <alignment horizontal="center" vertical="center"/>
    </xf>
    <xf numFmtId="0" fontId="27" fillId="17" borderId="83" xfId="0" applyNumberFormat="1" applyFont="1" applyFill="1" applyBorder="1" applyAlignment="1">
      <alignment horizontal="center" vertical="center"/>
    </xf>
    <xf numFmtId="0" fontId="11" fillId="17" borderId="82" xfId="0" applyNumberFormat="1" applyFont="1" applyFill="1" applyBorder="1" applyAlignment="1">
      <alignment horizontal="center" vertical="center"/>
    </xf>
    <xf numFmtId="164" fontId="11" fillId="17" borderId="42" xfId="0" applyNumberFormat="1" applyFont="1" applyFill="1" applyBorder="1" applyAlignment="1">
      <alignment horizontal="center" vertical="center"/>
    </xf>
    <xf numFmtId="0" fontId="27" fillId="17" borderId="82" xfId="0" applyNumberFormat="1" applyFont="1" applyFill="1" applyBorder="1" applyAlignment="1">
      <alignment horizontal="center" vertical="center"/>
    </xf>
    <xf numFmtId="164" fontId="27" fillId="17" borderId="42" xfId="0" applyNumberFormat="1" applyFont="1" applyFill="1" applyBorder="1" applyAlignment="1">
      <alignment horizontal="center" vertical="center"/>
    </xf>
    <xf numFmtId="0" fontId="27" fillId="17" borderId="47" xfId="0" applyFont="1" applyFill="1" applyBorder="1" applyAlignment="1">
      <alignment horizontal="center" vertical="center"/>
    </xf>
    <xf numFmtId="164" fontId="27" fillId="17" borderId="47" xfId="0" applyNumberFormat="1" applyFont="1" applyFill="1" applyBorder="1" applyAlignment="1">
      <alignment horizontal="center" vertical="center"/>
    </xf>
    <xf numFmtId="0" fontId="0" fillId="17" borderId="78" xfId="0" applyFont="1" applyFill="1" applyBorder="1" applyAlignment="1">
      <alignment/>
    </xf>
    <xf numFmtId="0" fontId="39" fillId="17" borderId="42" xfId="0" applyNumberFormat="1" applyFont="1" applyFill="1" applyBorder="1" applyAlignment="1">
      <alignment horizontal="center" vertical="center"/>
    </xf>
    <xf numFmtId="0" fontId="27" fillId="0" borderId="82" xfId="0" applyNumberFormat="1" applyFont="1" applyBorder="1" applyAlignment="1">
      <alignment horizontal="center"/>
    </xf>
    <xf numFmtId="0" fontId="27" fillId="17" borderId="43" xfId="0" applyNumberFormat="1" applyFont="1" applyFill="1" applyBorder="1" applyAlignment="1">
      <alignment horizontal="center"/>
    </xf>
    <xf numFmtId="0" fontId="27" fillId="17" borderId="42" xfId="0" applyNumberFormat="1" applyFont="1" applyFill="1" applyBorder="1" applyAlignment="1">
      <alignment horizontal="center"/>
    </xf>
    <xf numFmtId="0" fontId="27" fillId="17" borderId="83" xfId="0" applyNumberFormat="1" applyFont="1" applyFill="1" applyBorder="1" applyAlignment="1">
      <alignment horizontal="center"/>
    </xf>
    <xf numFmtId="49" fontId="27" fillId="17" borderId="83" xfId="0" applyNumberFormat="1" applyFont="1" applyFill="1" applyBorder="1" applyAlignment="1">
      <alignment horizontal="center" vertical="center"/>
    </xf>
    <xf numFmtId="49" fontId="27" fillId="17" borderId="84" xfId="0" applyNumberFormat="1" applyFont="1" applyFill="1" applyBorder="1" applyAlignment="1">
      <alignment horizontal="center" vertical="center"/>
    </xf>
    <xf numFmtId="0" fontId="27" fillId="17" borderId="85" xfId="0" applyFont="1" applyFill="1" applyBorder="1" applyAlignment="1">
      <alignment vertical="center" wrapText="1"/>
    </xf>
    <xf numFmtId="0" fontId="27" fillId="17" borderId="47" xfId="0" applyFont="1" applyFill="1" applyBorder="1" applyAlignment="1">
      <alignment vertical="center" wrapText="1"/>
    </xf>
    <xf numFmtId="0" fontId="27" fillId="17" borderId="42" xfId="0" applyFont="1" applyFill="1" applyBorder="1" applyAlignment="1">
      <alignment horizontal="left" vertical="top"/>
    </xf>
    <xf numFmtId="0" fontId="27" fillId="17" borderId="48" xfId="0" applyFont="1" applyFill="1" applyBorder="1" applyAlignment="1">
      <alignment vertical="center"/>
    </xf>
    <xf numFmtId="0" fontId="27" fillId="17" borderId="48" xfId="0" applyFont="1" applyFill="1" applyBorder="1" applyAlignment="1">
      <alignment horizontal="left" vertical="top"/>
    </xf>
    <xf numFmtId="0" fontId="27" fillId="17" borderId="43" xfId="0" applyFont="1" applyFill="1" applyBorder="1" applyAlignment="1">
      <alignment horizontal="left" vertical="top"/>
    </xf>
    <xf numFmtId="49" fontId="2" fillId="21" borderId="67" xfId="0" applyNumberFormat="1" applyFont="1" applyFill="1" applyBorder="1" applyAlignment="1">
      <alignment horizontal="center" vertical="center"/>
    </xf>
    <xf numFmtId="0" fontId="5" fillId="17" borderId="41" xfId="0" applyFont="1" applyFill="1" applyBorder="1" applyAlignment="1">
      <alignment/>
    </xf>
    <xf numFmtId="0" fontId="27" fillId="17" borderId="47" xfId="0" applyFont="1" applyFill="1" applyBorder="1" applyAlignment="1">
      <alignment/>
    </xf>
    <xf numFmtId="0" fontId="2" fillId="17" borderId="59" xfId="0" applyFont="1" applyFill="1" applyBorder="1" applyAlignment="1">
      <alignment/>
    </xf>
    <xf numFmtId="1" fontId="22" fillId="17" borderId="52" xfId="0" applyNumberFormat="1" applyFont="1" applyFill="1" applyBorder="1" applyAlignment="1" applyProtection="1">
      <alignment horizontal="center" vertical="center"/>
      <protection locked="0"/>
    </xf>
    <xf numFmtId="49" fontId="22" fillId="17" borderId="52" xfId="0" applyNumberFormat="1" applyFont="1" applyFill="1" applyBorder="1" applyAlignment="1" applyProtection="1">
      <alignment horizontal="center" vertical="center"/>
      <protection locked="0"/>
    </xf>
    <xf numFmtId="1" fontId="22" fillId="17" borderId="51" xfId="0" applyNumberFormat="1" applyFont="1" applyFill="1" applyBorder="1" applyAlignment="1" applyProtection="1">
      <alignment vertical="center"/>
      <protection locked="0"/>
    </xf>
    <xf numFmtId="1" fontId="22" fillId="17" borderId="30" xfId="0" applyNumberFormat="1" applyFont="1" applyFill="1" applyBorder="1" applyAlignment="1" applyProtection="1">
      <alignment vertical="center"/>
      <protection locked="0"/>
    </xf>
    <xf numFmtId="1" fontId="22" fillId="17" borderId="52" xfId="0" applyNumberFormat="1" applyFont="1" applyFill="1" applyBorder="1" applyAlignment="1" applyProtection="1">
      <alignment vertical="center"/>
      <protection locked="0"/>
    </xf>
    <xf numFmtId="0" fontId="22" fillId="17" borderId="52" xfId="0" applyFont="1" applyFill="1" applyBorder="1" applyAlignment="1" applyProtection="1">
      <alignment horizontal="center" vertical="center"/>
      <protection locked="0"/>
    </xf>
    <xf numFmtId="1" fontId="7" fillId="17" borderId="52" xfId="0" applyNumberFormat="1" applyFont="1" applyFill="1" applyBorder="1" applyAlignment="1" applyProtection="1">
      <alignment horizontal="center" vertical="center"/>
      <protection locked="0"/>
    </xf>
    <xf numFmtId="0" fontId="7" fillId="17" borderId="52" xfId="0" applyFont="1" applyFill="1" applyBorder="1" applyAlignment="1" applyProtection="1">
      <alignment horizontal="center" vertical="center"/>
      <protection locked="0"/>
    </xf>
    <xf numFmtId="1" fontId="24" fillId="17" borderId="52" xfId="0" applyNumberFormat="1" applyFont="1" applyFill="1" applyBorder="1" applyAlignment="1" applyProtection="1">
      <alignment horizontal="center" vertical="center"/>
      <protection locked="0"/>
    </xf>
    <xf numFmtId="1" fontId="0" fillId="15" borderId="12" xfId="0" applyNumberFormat="1" applyFont="1" applyFill="1" applyBorder="1" applyAlignment="1">
      <alignment horizontal="center"/>
    </xf>
    <xf numFmtId="1" fontId="0" fillId="15" borderId="0" xfId="0" applyNumberFormat="1" applyFont="1" applyFill="1" applyBorder="1" applyAlignment="1">
      <alignment horizontal="center"/>
    </xf>
    <xf numFmtId="1" fontId="0" fillId="7" borderId="12" xfId="0" applyNumberFormat="1" applyFont="1" applyFill="1" applyBorder="1" applyAlignment="1">
      <alignment horizontal="center"/>
    </xf>
    <xf numFmtId="1" fontId="0" fillId="7" borderId="0" xfId="0" applyNumberFormat="1" applyFont="1" applyFill="1" applyBorder="1" applyAlignment="1">
      <alignment horizontal="center"/>
    </xf>
    <xf numFmtId="49" fontId="0" fillId="7" borderId="12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1" fontId="0" fillId="7" borderId="15" xfId="0" applyNumberFormat="1" applyFont="1" applyFill="1" applyBorder="1" applyAlignment="1">
      <alignment horizontal="center"/>
    </xf>
    <xf numFmtId="49" fontId="11" fillId="34" borderId="0" xfId="0" applyNumberFormat="1" applyFont="1" applyFill="1" applyBorder="1" applyAlignment="1">
      <alignment horizontal="center" vertical="center"/>
    </xf>
    <xf numFmtId="0" fontId="0" fillId="12" borderId="0" xfId="0" applyFont="1" applyFill="1" applyBorder="1" applyAlignment="1">
      <alignment horizontal="center"/>
    </xf>
    <xf numFmtId="1" fontId="15" fillId="12" borderId="0" xfId="0" applyNumberFormat="1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1" fontId="23" fillId="17" borderId="30" xfId="0" applyNumberFormat="1" applyFont="1" applyFill="1" applyBorder="1" applyAlignment="1" applyProtection="1">
      <alignment horizontal="center" vertical="center"/>
      <protection locked="0"/>
    </xf>
    <xf numFmtId="1" fontId="23" fillId="17" borderId="52" xfId="0" applyNumberFormat="1" applyFont="1" applyFill="1" applyBorder="1" applyAlignment="1" applyProtection="1">
      <alignment horizontal="center" vertical="center"/>
      <protection locked="0"/>
    </xf>
    <xf numFmtId="0" fontId="0" fillId="0" borderId="0" xfId="55" applyNumberFormat="1" applyFont="1" applyAlignment="1">
      <alignment/>
    </xf>
    <xf numFmtId="0" fontId="0" fillId="17" borderId="60" xfId="55" applyFont="1" applyFill="1" applyBorder="1" applyAlignment="1">
      <alignment vertical="center"/>
    </xf>
    <xf numFmtId="0" fontId="0" fillId="0" borderId="61" xfId="55" applyFont="1" applyBorder="1" applyAlignment="1">
      <alignment/>
    </xf>
    <xf numFmtId="49" fontId="0" fillId="17" borderId="62" xfId="55" applyNumberFormat="1" applyFont="1" applyFill="1" applyBorder="1" applyAlignment="1">
      <alignment vertical="top"/>
    </xf>
    <xf numFmtId="0" fontId="0" fillId="17" borderId="60" xfId="55" applyFont="1" applyFill="1" applyBorder="1" applyAlignment="1">
      <alignment vertical="top"/>
    </xf>
    <xf numFmtId="0" fontId="27" fillId="17" borderId="60" xfId="55" applyFont="1" applyFill="1" applyBorder="1" applyAlignment="1">
      <alignment vertical="center"/>
    </xf>
    <xf numFmtId="0" fontId="0" fillId="17" borderId="61" xfId="55" applyFont="1" applyFill="1" applyBorder="1" applyAlignment="1">
      <alignment vertical="top"/>
    </xf>
    <xf numFmtId="0" fontId="0" fillId="17" borderId="60" xfId="55" applyFont="1" applyFill="1" applyBorder="1" applyAlignment="1">
      <alignment/>
    </xf>
    <xf numFmtId="0" fontId="27" fillId="17" borderId="63" xfId="55" applyFont="1" applyFill="1" applyBorder="1" applyAlignment="1">
      <alignment vertical="center"/>
    </xf>
    <xf numFmtId="0" fontId="11" fillId="0" borderId="64" xfId="55" applyFont="1" applyBorder="1" applyAlignment="1">
      <alignment horizontal="center"/>
    </xf>
    <xf numFmtId="0" fontId="11" fillId="17" borderId="64" xfId="55" applyFont="1" applyFill="1" applyBorder="1" applyAlignment="1">
      <alignment horizontal="center"/>
    </xf>
    <xf numFmtId="0" fontId="42" fillId="17" borderId="64" xfId="55" applyFont="1" applyFill="1" applyBorder="1" applyAlignment="1">
      <alignment horizontal="center"/>
    </xf>
    <xf numFmtId="0" fontId="0" fillId="17" borderId="64" xfId="55" applyFont="1" applyFill="1" applyBorder="1" applyAlignment="1">
      <alignment vertical="center"/>
    </xf>
    <xf numFmtId="49" fontId="18" fillId="21" borderId="65" xfId="55" applyNumberFormat="1" applyFont="1" applyFill="1" applyBorder="1" applyAlignment="1">
      <alignment horizontal="center" vertical="center"/>
    </xf>
    <xf numFmtId="0" fontId="18" fillId="21" borderId="80" xfId="55" applyFont="1" applyFill="1" applyBorder="1" applyAlignment="1">
      <alignment horizontal="center" vertical="center"/>
    </xf>
    <xf numFmtId="49" fontId="2" fillId="21" borderId="66" xfId="55" applyNumberFormat="1" applyFont="1" applyFill="1" applyBorder="1" applyAlignment="1">
      <alignment horizontal="center" vertical="center"/>
    </xf>
    <xf numFmtId="0" fontId="2" fillId="21" borderId="43" xfId="55" applyFont="1" applyFill="1" applyBorder="1" applyAlignment="1">
      <alignment vertical="center"/>
    </xf>
    <xf numFmtId="49" fontId="2" fillId="21" borderId="17" xfId="55" applyNumberFormat="1" applyFont="1" applyFill="1" applyBorder="1" applyAlignment="1">
      <alignment horizontal="center" vertical="center"/>
    </xf>
    <xf numFmtId="0" fontId="2" fillId="17" borderId="17" xfId="55" applyFont="1" applyFill="1" applyBorder="1" applyAlignment="1">
      <alignment horizontal="center" vertical="center"/>
    </xf>
    <xf numFmtId="0" fontId="2" fillId="17" borderId="43" xfId="55" applyFont="1" applyFill="1" applyBorder="1" applyAlignment="1">
      <alignment horizontal="center" vertical="center"/>
    </xf>
    <xf numFmtId="0" fontId="27" fillId="17" borderId="17" xfId="55" applyFont="1" applyFill="1" applyBorder="1" applyAlignment="1">
      <alignment horizontal="center" vertical="center"/>
    </xf>
    <xf numFmtId="0" fontId="27" fillId="17" borderId="17" xfId="55" applyFont="1" applyFill="1" applyBorder="1" applyAlignment="1">
      <alignment vertical="center"/>
    </xf>
    <xf numFmtId="0" fontId="27" fillId="17" borderId="17" xfId="55" applyFont="1" applyFill="1" applyBorder="1" applyAlignment="1">
      <alignment horizontal="left" vertical="top"/>
    </xf>
    <xf numFmtId="0" fontId="2" fillId="21" borderId="17" xfId="55" applyNumberFormat="1" applyFont="1" applyFill="1" applyBorder="1" applyAlignment="1">
      <alignment horizontal="center" vertical="center"/>
    </xf>
    <xf numFmtId="49" fontId="0" fillId="21" borderId="66" xfId="55" applyNumberFormat="1" applyFont="1" applyFill="1" applyBorder="1" applyAlignment="1">
      <alignment horizontal="center" vertical="center"/>
    </xf>
    <xf numFmtId="0" fontId="0" fillId="21" borderId="42" xfId="55" applyFont="1" applyFill="1" applyBorder="1" applyAlignment="1">
      <alignment vertical="center"/>
    </xf>
    <xf numFmtId="0" fontId="0" fillId="21" borderId="48" xfId="55" applyFont="1" applyFill="1" applyBorder="1" applyAlignment="1">
      <alignment vertical="center"/>
    </xf>
    <xf numFmtId="49" fontId="0" fillId="21" borderId="67" xfId="55" applyNumberFormat="1" applyFont="1" applyFill="1" applyBorder="1" applyAlignment="1">
      <alignment horizontal="center" vertical="center"/>
    </xf>
    <xf numFmtId="0" fontId="0" fillId="21" borderId="68" xfId="55" applyFont="1" applyFill="1" applyBorder="1" applyAlignment="1">
      <alignment vertical="center"/>
    </xf>
    <xf numFmtId="0" fontId="0" fillId="21" borderId="69" xfId="55" applyFont="1" applyFill="1" applyBorder="1" applyAlignment="1">
      <alignment vertical="center"/>
    </xf>
    <xf numFmtId="49" fontId="42" fillId="17" borderId="70" xfId="55" applyNumberFormat="1" applyFont="1" applyFill="1" applyBorder="1" applyAlignment="1">
      <alignment vertical="center"/>
    </xf>
    <xf numFmtId="0" fontId="27" fillId="17" borderId="70" xfId="55" applyFont="1" applyFill="1" applyBorder="1" applyAlignment="1">
      <alignment horizontal="left" vertical="center"/>
    </xf>
    <xf numFmtId="0" fontId="44" fillId="17" borderId="70" xfId="55" applyFont="1" applyFill="1" applyBorder="1" applyAlignment="1">
      <alignment horizontal="left" vertical="center"/>
    </xf>
    <xf numFmtId="0" fontId="2" fillId="17" borderId="70" xfId="55" applyFont="1" applyFill="1" applyBorder="1" applyAlignment="1">
      <alignment/>
    </xf>
    <xf numFmtId="0" fontId="27" fillId="17" borderId="70" xfId="55" applyFont="1" applyFill="1" applyBorder="1" applyAlignment="1">
      <alignment horizontal="center"/>
    </xf>
    <xf numFmtId="0" fontId="0" fillId="17" borderId="70" xfId="55" applyFont="1" applyFill="1" applyBorder="1" applyAlignment="1">
      <alignment/>
    </xf>
    <xf numFmtId="0" fontId="2" fillId="0" borderId="0" xfId="55" applyFont="1" applyBorder="1" applyAlignment="1">
      <alignment/>
    </xf>
    <xf numFmtId="0" fontId="27" fillId="17" borderId="0" xfId="55" applyFont="1" applyFill="1" applyBorder="1" applyAlignment="1">
      <alignment horizontal="center" vertical="center"/>
    </xf>
    <xf numFmtId="49" fontId="27" fillId="17" borderId="0" xfId="55" applyNumberFormat="1" applyFont="1" applyFill="1" applyBorder="1" applyAlignment="1">
      <alignment horizontal="center" vertical="center"/>
    </xf>
    <xf numFmtId="0" fontId="2" fillId="17" borderId="0" xfId="55" applyFont="1" applyFill="1" applyBorder="1" applyAlignment="1">
      <alignment/>
    </xf>
    <xf numFmtId="0" fontId="0" fillId="17" borderId="0" xfId="55" applyFont="1" applyFill="1" applyBorder="1" applyAlignment="1">
      <alignment/>
    </xf>
    <xf numFmtId="49" fontId="39" fillId="17" borderId="43" xfId="55" applyNumberFormat="1" applyFont="1" applyFill="1" applyBorder="1" applyAlignment="1">
      <alignment horizontal="center" vertical="center"/>
    </xf>
    <xf numFmtId="0" fontId="39" fillId="17" borderId="17" xfId="55" applyFont="1" applyFill="1" applyBorder="1" applyAlignment="1">
      <alignment horizontal="center" vertical="center"/>
    </xf>
    <xf numFmtId="49" fontId="39" fillId="17" borderId="17" xfId="55" applyNumberFormat="1" applyFont="1" applyFill="1" applyBorder="1" applyAlignment="1">
      <alignment vertical="center"/>
    </xf>
    <xf numFmtId="49" fontId="39" fillId="17" borderId="43" xfId="55" applyNumberFormat="1" applyFont="1" applyFill="1" applyBorder="1" applyAlignment="1">
      <alignment vertical="center"/>
    </xf>
    <xf numFmtId="49" fontId="27" fillId="17" borderId="43" xfId="55" applyNumberFormat="1" applyFont="1" applyFill="1" applyBorder="1" applyAlignment="1">
      <alignment horizontal="center" vertical="center"/>
    </xf>
    <xf numFmtId="0" fontId="39" fillId="17" borderId="43" xfId="55" applyNumberFormat="1" applyFont="1" applyFill="1" applyBorder="1" applyAlignment="1">
      <alignment horizontal="center" vertical="center"/>
    </xf>
    <xf numFmtId="0" fontId="27" fillId="17" borderId="43" xfId="55" applyNumberFormat="1" applyFont="1" applyFill="1" applyBorder="1" applyAlignment="1">
      <alignment horizontal="center" vertical="center"/>
    </xf>
    <xf numFmtId="0" fontId="27" fillId="17" borderId="17" xfId="55" applyNumberFormat="1" applyFont="1" applyFill="1" applyBorder="1" applyAlignment="1">
      <alignment horizontal="center" vertical="center"/>
    </xf>
    <xf numFmtId="0" fontId="0" fillId="0" borderId="86" xfId="55" applyFont="1" applyBorder="1" applyAlignment="1">
      <alignment/>
    </xf>
    <xf numFmtId="0" fontId="0" fillId="0" borderId="87" xfId="55" applyFont="1" applyBorder="1" applyAlignment="1">
      <alignment/>
    </xf>
    <xf numFmtId="49" fontId="0" fillId="17" borderId="87" xfId="55" applyNumberFormat="1" applyFont="1" applyFill="1" applyBorder="1" applyAlignment="1">
      <alignment horizontal="right"/>
    </xf>
    <xf numFmtId="49" fontId="0" fillId="17" borderId="87" xfId="55" applyNumberFormat="1" applyFont="1" applyFill="1" applyBorder="1" applyAlignment="1">
      <alignment horizontal="left"/>
    </xf>
    <xf numFmtId="0" fontId="0" fillId="17" borderId="87" xfId="55" applyFont="1" applyFill="1" applyBorder="1" applyAlignment="1">
      <alignment/>
    </xf>
    <xf numFmtId="0" fontId="0" fillId="17" borderId="88" xfId="55" applyFont="1" applyFill="1" applyBorder="1" applyAlignment="1">
      <alignment/>
    </xf>
    <xf numFmtId="1" fontId="32" fillId="17" borderId="51" xfId="0" applyNumberFormat="1" applyFont="1" applyFill="1" applyBorder="1" applyAlignment="1">
      <alignment vertical="center"/>
    </xf>
    <xf numFmtId="1" fontId="12" fillId="16" borderId="17" xfId="0" applyNumberFormat="1" applyFont="1" applyFill="1" applyBorder="1" applyAlignment="1" applyProtection="1">
      <alignment horizontal="center"/>
      <protection locked="0"/>
    </xf>
    <xf numFmtId="49" fontId="13" fillId="16" borderId="17" xfId="0" applyNumberFormat="1" applyFont="1" applyFill="1" applyBorder="1" applyAlignment="1" applyProtection="1">
      <alignment wrapText="1"/>
      <protection locked="0"/>
    </xf>
    <xf numFmtId="49" fontId="0" fillId="16" borderId="17" xfId="0" applyNumberFormat="1" applyFont="1" applyFill="1" applyBorder="1" applyAlignment="1" applyProtection="1">
      <alignment/>
      <protection locked="0"/>
    </xf>
    <xf numFmtId="49" fontId="13" fillId="22" borderId="17" xfId="0" applyNumberFormat="1" applyFont="1" applyFill="1" applyBorder="1" applyAlignment="1" applyProtection="1">
      <alignment wrapText="1"/>
      <protection locked="0"/>
    </xf>
    <xf numFmtId="49" fontId="13" fillId="16" borderId="42" xfId="0" applyNumberFormat="1" applyFont="1" applyFill="1" applyBorder="1" applyAlignment="1" applyProtection="1">
      <alignment wrapText="1"/>
      <protection locked="0"/>
    </xf>
    <xf numFmtId="49" fontId="13" fillId="16" borderId="43" xfId="0" applyNumberFormat="1" applyFont="1" applyFill="1" applyBorder="1" applyAlignment="1" applyProtection="1">
      <alignment wrapText="1"/>
      <protection locked="0"/>
    </xf>
    <xf numFmtId="49" fontId="13" fillId="21" borderId="17" xfId="0" applyNumberFormat="1" applyFont="1" applyFill="1" applyBorder="1" applyAlignment="1" applyProtection="1">
      <alignment wrapText="1"/>
      <protection locked="0"/>
    </xf>
    <xf numFmtId="49" fontId="0" fillId="22" borderId="17" xfId="0" applyNumberFormat="1" applyFont="1" applyFill="1" applyBorder="1" applyAlignment="1" applyProtection="1">
      <alignment/>
      <protection locked="0"/>
    </xf>
    <xf numFmtId="49" fontId="0" fillId="21" borderId="17" xfId="0" applyNumberFormat="1" applyFont="1" applyFill="1" applyBorder="1" applyAlignment="1" applyProtection="1">
      <alignment/>
      <protection locked="0"/>
    </xf>
    <xf numFmtId="1" fontId="14" fillId="16" borderId="17" xfId="0" applyNumberFormat="1" applyFont="1" applyFill="1" applyBorder="1" applyAlignment="1" applyProtection="1">
      <alignment horizontal="center"/>
      <protection locked="0"/>
    </xf>
    <xf numFmtId="0" fontId="0" fillId="21" borderId="17" xfId="0" applyFont="1" applyFill="1" applyBorder="1" applyAlignment="1" applyProtection="1">
      <alignment/>
      <protection locked="0"/>
    </xf>
    <xf numFmtId="0" fontId="0" fillId="16" borderId="17" xfId="0" applyFont="1" applyFill="1" applyBorder="1" applyAlignment="1" applyProtection="1">
      <alignment/>
      <protection locked="0"/>
    </xf>
    <xf numFmtId="0" fontId="0" fillId="22" borderId="17" xfId="0" applyFont="1" applyFill="1" applyBorder="1" applyAlignment="1" applyProtection="1">
      <alignment/>
      <protection locked="0"/>
    </xf>
    <xf numFmtId="3" fontId="0" fillId="16" borderId="32" xfId="0" applyNumberFormat="1" applyFont="1" applyFill="1" applyBorder="1" applyAlignment="1" applyProtection="1">
      <alignment horizontal="center"/>
      <protection locked="0"/>
    </xf>
    <xf numFmtId="3" fontId="15" fillId="29" borderId="32" xfId="0" applyNumberFormat="1" applyFont="1" applyFill="1" applyBorder="1" applyAlignment="1" applyProtection="1">
      <alignment horizontal="center"/>
      <protection locked="0"/>
    </xf>
    <xf numFmtId="1" fontId="13" fillId="16" borderId="32" xfId="0" applyNumberFormat="1" applyFont="1" applyFill="1" applyBorder="1" applyAlignment="1" applyProtection="1">
      <alignment horizontal="center" wrapText="1"/>
      <protection locked="0"/>
    </xf>
    <xf numFmtId="1" fontId="16" fillId="29" borderId="32" xfId="0" applyNumberFormat="1" applyFont="1" applyFill="1" applyBorder="1" applyAlignment="1" applyProtection="1">
      <alignment horizontal="center" wrapText="1"/>
      <protection locked="0"/>
    </xf>
    <xf numFmtId="0" fontId="0" fillId="17" borderId="15" xfId="0" applyFont="1" applyFill="1" applyBorder="1" applyAlignment="1" applyProtection="1">
      <alignment/>
      <protection locked="0"/>
    </xf>
    <xf numFmtId="49" fontId="18" fillId="17" borderId="0" xfId="0" applyNumberFormat="1" applyFont="1" applyFill="1" applyBorder="1" applyAlignment="1">
      <alignment/>
    </xf>
    <xf numFmtId="49" fontId="24" fillId="21" borderId="51" xfId="0" applyNumberFormat="1" applyFont="1" applyFill="1" applyBorder="1" applyAlignment="1">
      <alignment horizontal="center" vertical="center"/>
    </xf>
    <xf numFmtId="1" fontId="22" fillId="21" borderId="32" xfId="0" applyNumberFormat="1" applyFont="1" applyFill="1" applyBorder="1" applyAlignment="1">
      <alignment horizontal="center" vertical="center"/>
    </xf>
    <xf numFmtId="1" fontId="22" fillId="21" borderId="51" xfId="0" applyNumberFormat="1" applyFont="1" applyFill="1" applyBorder="1" applyAlignment="1">
      <alignment horizontal="center" vertical="center"/>
    </xf>
    <xf numFmtId="1" fontId="22" fillId="17" borderId="32" xfId="0" applyNumberFormat="1" applyFont="1" applyFill="1" applyBorder="1" applyAlignment="1" applyProtection="1">
      <alignment horizontal="center" vertical="center"/>
      <protection locked="0"/>
    </xf>
    <xf numFmtId="49" fontId="22" fillId="21" borderId="32" xfId="0" applyNumberFormat="1" applyFont="1" applyFill="1" applyBorder="1" applyAlignment="1">
      <alignment horizontal="center" vertical="center"/>
    </xf>
    <xf numFmtId="1" fontId="2" fillId="17" borderId="51" xfId="0" applyNumberFormat="1" applyFont="1" applyFill="1" applyBorder="1" applyAlignment="1">
      <alignment horizontal="center" vertical="center"/>
    </xf>
    <xf numFmtId="1" fontId="2" fillId="17" borderId="30" xfId="0" applyNumberFormat="1" applyFont="1" applyFill="1" applyBorder="1" applyAlignment="1">
      <alignment horizontal="center" vertical="center"/>
    </xf>
    <xf numFmtId="1" fontId="2" fillId="17" borderId="52" xfId="0" applyNumberFormat="1" applyFont="1" applyFill="1" applyBorder="1" applyAlignment="1">
      <alignment horizontal="center" vertical="center"/>
    </xf>
    <xf numFmtId="2" fontId="22" fillId="17" borderId="32" xfId="0" applyNumberFormat="1" applyFont="1" applyFill="1" applyBorder="1" applyAlignment="1" applyProtection="1">
      <alignment horizontal="center" vertical="center"/>
      <protection locked="0"/>
    </xf>
    <xf numFmtId="1" fontId="2" fillId="21" borderId="30" xfId="0" applyNumberFormat="1" applyFont="1" applyFill="1" applyBorder="1" applyAlignment="1">
      <alignment horizontal="center" vertical="center"/>
    </xf>
    <xf numFmtId="1" fontId="2" fillId="21" borderId="52" xfId="0" applyNumberFormat="1" applyFont="1" applyFill="1" applyBorder="1" applyAlignment="1">
      <alignment horizontal="center" vertical="center"/>
    </xf>
    <xf numFmtId="1" fontId="22" fillId="17" borderId="50" xfId="0" applyNumberFormat="1" applyFont="1" applyFill="1" applyBorder="1" applyAlignment="1" applyProtection="1">
      <alignment horizontal="center" vertical="center"/>
      <protection locked="0"/>
    </xf>
    <xf numFmtId="1" fontId="22" fillId="17" borderId="25" xfId="0" applyNumberFormat="1" applyFont="1" applyFill="1" applyBorder="1" applyAlignment="1" applyProtection="1">
      <alignment horizontal="center" vertical="center"/>
      <protection locked="0"/>
    </xf>
    <xf numFmtId="1" fontId="22" fillId="17" borderId="53" xfId="0" applyNumberFormat="1" applyFont="1" applyFill="1" applyBorder="1" applyAlignment="1" applyProtection="1">
      <alignment horizontal="center" vertical="center"/>
      <protection locked="0"/>
    </xf>
    <xf numFmtId="1" fontId="22" fillId="21" borderId="30" xfId="0" applyNumberFormat="1" applyFont="1" applyFill="1" applyBorder="1" applyAlignment="1">
      <alignment horizontal="center" vertical="center"/>
    </xf>
    <xf numFmtId="1" fontId="22" fillId="21" borderId="52" xfId="0" applyNumberFormat="1" applyFont="1" applyFill="1" applyBorder="1" applyAlignment="1">
      <alignment horizontal="center" vertical="center"/>
    </xf>
    <xf numFmtId="1" fontId="22" fillId="17" borderId="49" xfId="0" applyNumberFormat="1" applyFont="1" applyFill="1" applyBorder="1" applyAlignment="1" applyProtection="1">
      <alignment horizontal="center" vertical="center"/>
      <protection locked="0"/>
    </xf>
    <xf numFmtId="1" fontId="22" fillId="17" borderId="29" xfId="0" applyNumberFormat="1" applyFont="1" applyFill="1" applyBorder="1" applyAlignment="1" applyProtection="1">
      <alignment horizontal="center" vertical="center"/>
      <protection locked="0"/>
    </xf>
    <xf numFmtId="1" fontId="22" fillId="17" borderId="31" xfId="0" applyNumberFormat="1" applyFont="1" applyFill="1" applyBorder="1" applyAlignment="1" applyProtection="1">
      <alignment horizontal="center" vertical="center"/>
      <protection locked="0"/>
    </xf>
    <xf numFmtId="49" fontId="21" fillId="21" borderId="57" xfId="0" applyNumberFormat="1" applyFont="1" applyFill="1" applyBorder="1" applyAlignment="1">
      <alignment horizontal="left" vertical="center"/>
    </xf>
    <xf numFmtId="1" fontId="21" fillId="21" borderId="25" xfId="0" applyNumberFormat="1" applyFont="1" applyFill="1" applyBorder="1" applyAlignment="1">
      <alignment horizontal="left" vertical="center"/>
    </xf>
    <xf numFmtId="1" fontId="21" fillId="21" borderId="27" xfId="0" applyNumberFormat="1" applyFont="1" applyFill="1" applyBorder="1" applyAlignment="1">
      <alignment horizontal="left" vertical="center"/>
    </xf>
    <xf numFmtId="49" fontId="22" fillId="21" borderId="51" xfId="0" applyNumberFormat="1" applyFont="1" applyFill="1" applyBorder="1" applyAlignment="1">
      <alignment horizontal="center" vertical="center"/>
    </xf>
    <xf numFmtId="49" fontId="22" fillId="21" borderId="30" xfId="0" applyNumberFormat="1" applyFont="1" applyFill="1" applyBorder="1" applyAlignment="1">
      <alignment horizontal="center" vertical="center"/>
    </xf>
    <xf numFmtId="1" fontId="22" fillId="17" borderId="52" xfId="0" applyNumberFormat="1" applyFont="1" applyFill="1" applyBorder="1" applyAlignment="1">
      <alignment horizontal="center" vertical="center"/>
    </xf>
    <xf numFmtId="1" fontId="22" fillId="17" borderId="51" xfId="0" applyNumberFormat="1" applyFont="1" applyFill="1" applyBorder="1" applyAlignment="1">
      <alignment horizontal="center" vertical="center"/>
    </xf>
    <xf numFmtId="1" fontId="22" fillId="17" borderId="50" xfId="0" applyNumberFormat="1" applyFont="1" applyFill="1" applyBorder="1" applyAlignment="1">
      <alignment horizontal="center" vertical="center"/>
    </xf>
    <xf numFmtId="1" fontId="22" fillId="17" borderId="25" xfId="0" applyNumberFormat="1" applyFont="1" applyFill="1" applyBorder="1" applyAlignment="1">
      <alignment horizontal="center" vertical="center"/>
    </xf>
    <xf numFmtId="1" fontId="22" fillId="17" borderId="53" xfId="0" applyNumberFormat="1" applyFont="1" applyFill="1" applyBorder="1" applyAlignment="1">
      <alignment horizontal="center" vertical="center"/>
    </xf>
    <xf numFmtId="49" fontId="22" fillId="17" borderId="51" xfId="0" applyNumberFormat="1" applyFont="1" applyFill="1" applyBorder="1" applyAlignment="1">
      <alignment horizontal="center" vertical="center"/>
    </xf>
    <xf numFmtId="1" fontId="22" fillId="17" borderId="30" xfId="0" applyNumberFormat="1" applyFont="1" applyFill="1" applyBorder="1" applyAlignment="1">
      <alignment horizontal="center" vertical="center"/>
    </xf>
    <xf numFmtId="49" fontId="22" fillId="17" borderId="49" xfId="0" applyNumberFormat="1" applyFont="1" applyFill="1" applyBorder="1" applyAlignment="1">
      <alignment horizontal="center" vertical="center"/>
    </xf>
    <xf numFmtId="1" fontId="22" fillId="17" borderId="29" xfId="0" applyNumberFormat="1" applyFont="1" applyFill="1" applyBorder="1" applyAlignment="1">
      <alignment horizontal="center" vertical="center"/>
    </xf>
    <xf numFmtId="1" fontId="22" fillId="17" borderId="31" xfId="0" applyNumberFormat="1" applyFont="1" applyFill="1" applyBorder="1" applyAlignment="1">
      <alignment horizontal="center" vertical="center"/>
    </xf>
    <xf numFmtId="0" fontId="0" fillId="17" borderId="89" xfId="0" applyFont="1" applyFill="1" applyBorder="1" applyAlignment="1">
      <alignment/>
    </xf>
    <xf numFmtId="49" fontId="0" fillId="20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/>
    </xf>
    <xf numFmtId="1" fontId="11" fillId="25" borderId="10" xfId="0" applyNumberFormat="1" applyFont="1" applyFill="1" applyBorder="1" applyAlignment="1">
      <alignment horizontal="center" vertical="center"/>
    </xf>
    <xf numFmtId="0" fontId="0" fillId="17" borderId="34" xfId="0" applyFont="1" applyFill="1" applyBorder="1" applyAlignment="1">
      <alignment/>
    </xf>
    <xf numFmtId="0" fontId="0" fillId="17" borderId="19" xfId="0" applyFont="1" applyFill="1" applyBorder="1" applyAlignment="1">
      <alignment/>
    </xf>
    <xf numFmtId="0" fontId="0" fillId="17" borderId="26" xfId="0" applyFont="1" applyFill="1" applyBorder="1" applyAlignment="1">
      <alignment/>
    </xf>
    <xf numFmtId="3" fontId="0" fillId="30" borderId="30" xfId="0" applyNumberFormat="1" applyFont="1" applyFill="1" applyBorder="1" applyAlignment="1">
      <alignment vertical="center"/>
    </xf>
    <xf numFmtId="0" fontId="0" fillId="17" borderId="90" xfId="0" applyFont="1" applyFill="1" applyBorder="1" applyAlignment="1">
      <alignment/>
    </xf>
    <xf numFmtId="0" fontId="0" fillId="17" borderId="91" xfId="0" applyFont="1" applyFill="1" applyBorder="1" applyAlignment="1">
      <alignment/>
    </xf>
    <xf numFmtId="0" fontId="0" fillId="17" borderId="18" xfId="0" applyFont="1" applyFill="1" applyBorder="1" applyAlignment="1">
      <alignment/>
    </xf>
    <xf numFmtId="0" fontId="0" fillId="17" borderId="24" xfId="0" applyFont="1" applyFill="1" applyBorder="1" applyAlignment="1">
      <alignment/>
    </xf>
    <xf numFmtId="3" fontId="0" fillId="30" borderId="29" xfId="0" applyNumberFormat="1" applyFont="1" applyFill="1" applyBorder="1" applyAlignment="1">
      <alignment vertical="center"/>
    </xf>
    <xf numFmtId="3" fontId="0" fillId="30" borderId="0" xfId="0" applyNumberFormat="1" applyFont="1" applyFill="1" applyBorder="1" applyAlignment="1">
      <alignment vertical="center"/>
    </xf>
    <xf numFmtId="3" fontId="0" fillId="30" borderId="25" xfId="0" applyNumberFormat="1" applyFont="1" applyFill="1" applyBorder="1" applyAlignment="1">
      <alignment vertical="center"/>
    </xf>
    <xf numFmtId="49" fontId="11" fillId="25" borderId="10" xfId="0" applyNumberFormat="1" applyFont="1" applyFill="1" applyBorder="1" applyAlignment="1">
      <alignment horizontal="center" vertical="center"/>
    </xf>
    <xf numFmtId="49" fontId="0" fillId="21" borderId="17" xfId="0" applyNumberFormat="1" applyFill="1" applyBorder="1" applyAlignment="1" applyProtection="1">
      <alignment/>
      <protection locked="0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3" fontId="15" fillId="28" borderId="92" xfId="0" applyNumberFormat="1" applyFont="1" applyFill="1" applyBorder="1" applyAlignment="1">
      <alignment horizontal="center" vertical="center"/>
    </xf>
    <xf numFmtId="0" fontId="0" fillId="17" borderId="92" xfId="0" applyFont="1" applyFill="1" applyBorder="1" applyAlignment="1">
      <alignment/>
    </xf>
    <xf numFmtId="3" fontId="0" fillId="27" borderId="30" xfId="0" applyNumberFormat="1" applyFont="1" applyFill="1" applyBorder="1" applyAlignment="1">
      <alignment horizontal="center" vertical="center"/>
    </xf>
    <xf numFmtId="0" fontId="0" fillId="17" borderId="93" xfId="0" applyFont="1" applyFill="1" applyBorder="1" applyAlignment="1">
      <alignment/>
    </xf>
    <xf numFmtId="1" fontId="24" fillId="17" borderId="30" xfId="0" applyNumberFormat="1" applyFont="1" applyFill="1" applyBorder="1" applyAlignment="1">
      <alignment horizontal="center" vertical="center"/>
    </xf>
    <xf numFmtId="1" fontId="24" fillId="17" borderId="51" xfId="0" applyNumberFormat="1" applyFont="1" applyFill="1" applyBorder="1" applyAlignment="1">
      <alignment horizontal="center" vertical="center"/>
    </xf>
    <xf numFmtId="49" fontId="22" fillId="17" borderId="32" xfId="0" applyNumberFormat="1" applyFont="1" applyFill="1" applyBorder="1" applyAlignment="1" applyProtection="1">
      <alignment horizontal="center" vertical="center"/>
      <protection locked="0"/>
    </xf>
    <xf numFmtId="1" fontId="22" fillId="17" borderId="51" xfId="0" applyNumberFormat="1" applyFont="1" applyFill="1" applyBorder="1" applyAlignment="1" applyProtection="1">
      <alignment horizontal="center" vertical="center"/>
      <protection locked="0"/>
    </xf>
    <xf numFmtId="1" fontId="2" fillId="17" borderId="52" xfId="0" applyNumberFormat="1" applyFont="1" applyFill="1" applyBorder="1" applyAlignment="1" applyProtection="1">
      <alignment horizontal="center" vertical="center"/>
      <protection locked="0"/>
    </xf>
    <xf numFmtId="1" fontId="2" fillId="17" borderId="32" xfId="0" applyNumberFormat="1" applyFont="1" applyFill="1" applyBorder="1" applyAlignment="1" applyProtection="1">
      <alignment horizontal="center" vertical="center"/>
      <protection locked="0"/>
    </xf>
    <xf numFmtId="49" fontId="24" fillId="21" borderId="30" xfId="0" applyNumberFormat="1" applyFont="1" applyFill="1" applyBorder="1" applyAlignment="1">
      <alignment horizontal="center" vertical="center"/>
    </xf>
    <xf numFmtId="49" fontId="26" fillId="21" borderId="32" xfId="0" applyNumberFormat="1" applyFont="1" applyFill="1" applyBorder="1" applyAlignment="1">
      <alignment horizontal="center" vertical="center"/>
    </xf>
    <xf numFmtId="1" fontId="22" fillId="17" borderId="30" xfId="0" applyNumberFormat="1" applyFont="1" applyFill="1" applyBorder="1" applyAlignment="1" applyProtection="1">
      <alignment horizontal="center" vertical="center"/>
      <protection locked="0"/>
    </xf>
    <xf numFmtId="1" fontId="22" fillId="17" borderId="52" xfId="0" applyNumberFormat="1" applyFont="1" applyFill="1" applyBorder="1" applyAlignment="1" applyProtection="1">
      <alignment horizontal="center" vertical="center"/>
      <protection locked="0"/>
    </xf>
    <xf numFmtId="1" fontId="23" fillId="21" borderId="52" xfId="0" applyNumberFormat="1" applyFont="1" applyFill="1" applyBorder="1" applyAlignment="1">
      <alignment horizontal="center" vertical="center"/>
    </xf>
    <xf numFmtId="1" fontId="23" fillId="17" borderId="32" xfId="0" applyNumberFormat="1" applyFont="1" applyFill="1" applyBorder="1" applyAlignment="1">
      <alignment horizontal="center" vertical="center"/>
    </xf>
    <xf numFmtId="1" fontId="23" fillId="17" borderId="52" xfId="0" applyNumberFormat="1" applyFont="1" applyFill="1" applyBorder="1" applyAlignment="1">
      <alignment horizontal="center" vertical="center"/>
    </xf>
    <xf numFmtId="49" fontId="2" fillId="21" borderId="32" xfId="0" applyNumberFormat="1" applyFont="1" applyFill="1" applyBorder="1" applyAlignment="1">
      <alignment vertical="center"/>
    </xf>
    <xf numFmtId="1" fontId="2" fillId="21" borderId="32" xfId="0" applyNumberFormat="1" applyFont="1" applyFill="1" applyBorder="1" applyAlignment="1">
      <alignment vertical="center"/>
    </xf>
    <xf numFmtId="1" fontId="7" fillId="21" borderId="32" xfId="0" applyNumberFormat="1" applyFont="1" applyFill="1" applyBorder="1" applyAlignment="1">
      <alignment vertical="center"/>
    </xf>
    <xf numFmtId="49" fontId="24" fillId="21" borderId="32" xfId="0" applyNumberFormat="1" applyFont="1" applyFill="1" applyBorder="1" applyAlignment="1">
      <alignment horizontal="left" vertical="center"/>
    </xf>
    <xf numFmtId="1" fontId="24" fillId="21" borderId="32" xfId="0" applyNumberFormat="1" applyFont="1" applyFill="1" applyBorder="1" applyAlignment="1">
      <alignment horizontal="left" vertical="center"/>
    </xf>
    <xf numFmtId="49" fontId="24" fillId="21" borderId="32" xfId="0" applyNumberFormat="1" applyFont="1" applyFill="1" applyBorder="1" applyAlignment="1">
      <alignment horizontal="center" vertical="center"/>
    </xf>
    <xf numFmtId="1" fontId="24" fillId="21" borderId="51" xfId="0" applyNumberFormat="1" applyFont="1" applyFill="1" applyBorder="1" applyAlignment="1">
      <alignment horizontal="left" vertical="center"/>
    </xf>
    <xf numFmtId="49" fontId="20" fillId="21" borderId="57" xfId="0" applyNumberFormat="1" applyFont="1" applyFill="1" applyBorder="1" applyAlignment="1">
      <alignment horizontal="center"/>
    </xf>
    <xf numFmtId="1" fontId="20" fillId="21" borderId="25" xfId="0" applyNumberFormat="1" applyFont="1" applyFill="1" applyBorder="1" applyAlignment="1">
      <alignment horizontal="center"/>
    </xf>
    <xf numFmtId="1" fontId="20" fillId="21" borderId="27" xfId="0" applyNumberFormat="1" applyFont="1" applyFill="1" applyBorder="1" applyAlignment="1">
      <alignment horizontal="center"/>
    </xf>
    <xf numFmtId="49" fontId="23" fillId="17" borderId="0" xfId="0" applyNumberFormat="1" applyFont="1" applyFill="1" applyBorder="1" applyAlignment="1">
      <alignment horizontal="center" vertical="center" wrapText="1"/>
    </xf>
    <xf numFmtId="1" fontId="23" fillId="17" borderId="0" xfId="0" applyNumberFormat="1" applyFont="1" applyFill="1" applyBorder="1" applyAlignment="1">
      <alignment horizontal="center" vertical="center" wrapText="1"/>
    </xf>
    <xf numFmtId="49" fontId="7" fillId="21" borderId="32" xfId="0" applyNumberFormat="1" applyFont="1" applyFill="1" applyBorder="1" applyAlignment="1">
      <alignment vertical="center" wrapText="1"/>
    </xf>
    <xf numFmtId="1" fontId="7" fillId="21" borderId="32" xfId="0" applyNumberFormat="1" applyFont="1" applyFill="1" applyBorder="1" applyAlignment="1">
      <alignment vertical="center" wrapText="1"/>
    </xf>
    <xf numFmtId="1" fontId="25" fillId="20" borderId="30" xfId="0" applyNumberFormat="1" applyFont="1" applyFill="1" applyBorder="1" applyAlignment="1">
      <alignment horizontal="center" vertical="center"/>
    </xf>
    <xf numFmtId="1" fontId="25" fillId="20" borderId="52" xfId="0" applyNumberFormat="1" applyFont="1" applyFill="1" applyBorder="1" applyAlignment="1">
      <alignment horizontal="center" vertical="center"/>
    </xf>
    <xf numFmtId="49" fontId="22" fillId="36" borderId="32" xfId="0" applyNumberFormat="1" applyFont="1" applyFill="1" applyBorder="1" applyAlignment="1">
      <alignment horizontal="left" vertical="center"/>
    </xf>
    <xf numFmtId="1" fontId="22" fillId="36" borderId="32" xfId="0" applyNumberFormat="1" applyFont="1" applyFill="1" applyBorder="1" applyAlignment="1">
      <alignment horizontal="left" vertical="center"/>
    </xf>
    <xf numFmtId="2" fontId="22" fillId="36" borderId="32" xfId="0" applyNumberFormat="1" applyFont="1" applyFill="1" applyBorder="1" applyAlignment="1">
      <alignment horizontal="center" vertical="center"/>
    </xf>
    <xf numFmtId="2" fontId="22" fillId="36" borderId="51" xfId="0" applyNumberFormat="1" applyFont="1" applyFill="1" applyBorder="1" applyAlignment="1">
      <alignment horizontal="center" vertical="center"/>
    </xf>
    <xf numFmtId="49" fontId="22" fillId="36" borderId="51" xfId="0" applyNumberFormat="1" applyFont="1" applyFill="1" applyBorder="1" applyAlignment="1">
      <alignment horizontal="center" vertical="center"/>
    </xf>
    <xf numFmtId="49" fontId="22" fillId="36" borderId="30" xfId="0" applyNumberFormat="1" applyFont="1" applyFill="1" applyBorder="1" applyAlignment="1">
      <alignment horizontal="center" vertical="center"/>
    </xf>
    <xf numFmtId="49" fontId="22" fillId="36" borderId="52" xfId="0" applyNumberFormat="1" applyFont="1" applyFill="1" applyBorder="1" applyAlignment="1">
      <alignment horizontal="center" vertical="center"/>
    </xf>
    <xf numFmtId="49" fontId="22" fillId="36" borderId="32" xfId="0" applyNumberFormat="1" applyFont="1" applyFill="1" applyBorder="1" applyAlignment="1">
      <alignment horizontal="center" vertical="center"/>
    </xf>
    <xf numFmtId="49" fontId="22" fillId="21" borderId="52" xfId="0" applyNumberFormat="1" applyFont="1" applyFill="1" applyBorder="1" applyAlignment="1">
      <alignment horizontal="center" vertical="center"/>
    </xf>
    <xf numFmtId="49" fontId="22" fillId="36" borderId="30" xfId="0" applyNumberFormat="1" applyFont="1" applyFill="1" applyBorder="1" applyAlignment="1">
      <alignment horizontal="right" vertical="center"/>
    </xf>
    <xf numFmtId="1" fontId="22" fillId="36" borderId="30" xfId="0" applyNumberFormat="1" applyFont="1" applyFill="1" applyBorder="1" applyAlignment="1">
      <alignment horizontal="right" vertical="center"/>
    </xf>
    <xf numFmtId="49" fontId="22" fillId="17" borderId="58" xfId="0" applyNumberFormat="1" applyFont="1" applyFill="1" applyBorder="1" applyAlignment="1" applyProtection="1">
      <alignment horizontal="center" vertical="center"/>
      <protection locked="0"/>
    </xf>
    <xf numFmtId="1" fontId="22" fillId="36" borderId="30" xfId="0" applyNumberFormat="1" applyFont="1" applyFill="1" applyBorder="1" applyAlignment="1">
      <alignment horizontal="center" vertical="center"/>
    </xf>
    <xf numFmtId="1" fontId="22" fillId="36" borderId="52" xfId="0" applyNumberFormat="1" applyFont="1" applyFill="1" applyBorder="1" applyAlignment="1">
      <alignment horizontal="center" vertical="center"/>
    </xf>
    <xf numFmtId="1" fontId="22" fillId="36" borderId="51" xfId="0" applyNumberFormat="1" applyFont="1" applyFill="1" applyBorder="1" applyAlignment="1">
      <alignment horizontal="center" vertical="center"/>
    </xf>
    <xf numFmtId="1" fontId="22" fillId="36" borderId="32" xfId="0" applyNumberFormat="1" applyFont="1" applyFill="1" applyBorder="1" applyAlignment="1">
      <alignment horizontal="center" vertical="center"/>
    </xf>
    <xf numFmtId="49" fontId="20" fillId="36" borderId="94" xfId="0" applyNumberFormat="1" applyFont="1" applyFill="1" applyBorder="1" applyAlignment="1">
      <alignment horizontal="center" vertical="center"/>
    </xf>
    <xf numFmtId="0" fontId="0" fillId="17" borderId="47" xfId="0" applyFont="1" applyFill="1" applyBorder="1" applyAlignment="1">
      <alignment/>
    </xf>
    <xf numFmtId="0" fontId="0" fillId="17" borderId="95" xfId="0" applyFont="1" applyFill="1" applyBorder="1" applyAlignment="1">
      <alignment/>
    </xf>
    <xf numFmtId="0" fontId="0" fillId="17" borderId="25" xfId="0" applyFont="1" applyFill="1" applyBorder="1" applyAlignment="1">
      <alignment/>
    </xf>
    <xf numFmtId="49" fontId="26" fillId="36" borderId="47" xfId="0" applyNumberFormat="1" applyFont="1" applyFill="1" applyBorder="1" applyAlignment="1">
      <alignment horizontal="center" vertical="center"/>
    </xf>
    <xf numFmtId="0" fontId="0" fillId="17" borderId="59" xfId="0" applyFont="1" applyFill="1" applyBorder="1" applyAlignment="1">
      <alignment/>
    </xf>
    <xf numFmtId="0" fontId="0" fillId="17" borderId="96" xfId="0" applyFont="1" applyFill="1" applyBorder="1" applyAlignment="1">
      <alignment/>
    </xf>
    <xf numFmtId="49" fontId="23" fillId="21" borderId="32" xfId="0" applyNumberFormat="1" applyFont="1" applyFill="1" applyBorder="1" applyAlignment="1">
      <alignment horizontal="left" vertical="center"/>
    </xf>
    <xf numFmtId="1" fontId="23" fillId="21" borderId="32" xfId="0" applyNumberFormat="1" applyFont="1" applyFill="1" applyBorder="1" applyAlignment="1">
      <alignment horizontal="left" vertical="center"/>
    </xf>
    <xf numFmtId="1" fontId="23" fillId="17" borderId="32" xfId="0" applyNumberFormat="1" applyFont="1" applyFill="1" applyBorder="1" applyAlignment="1" applyProtection="1">
      <alignment horizontal="center" vertical="center"/>
      <protection locked="0"/>
    </xf>
    <xf numFmtId="49" fontId="22" fillId="17" borderId="97" xfId="0" applyNumberFormat="1" applyFont="1" applyFill="1" applyBorder="1" applyAlignment="1" applyProtection="1">
      <alignment horizontal="left" vertical="top"/>
      <protection locked="0"/>
    </xf>
    <xf numFmtId="49" fontId="22" fillId="17" borderId="98" xfId="0" applyNumberFormat="1" applyFont="1" applyFill="1" applyBorder="1" applyAlignment="1" applyProtection="1">
      <alignment horizontal="left" vertical="top"/>
      <protection locked="0"/>
    </xf>
    <xf numFmtId="49" fontId="23" fillId="21" borderId="30" xfId="0" applyNumberFormat="1" applyFont="1" applyFill="1" applyBorder="1" applyAlignment="1">
      <alignment horizontal="center" vertical="center"/>
    </xf>
    <xf numFmtId="1" fontId="23" fillId="21" borderId="30" xfId="0" applyNumberFormat="1" applyFont="1" applyFill="1" applyBorder="1" applyAlignment="1">
      <alignment horizontal="center" vertical="center"/>
    </xf>
    <xf numFmtId="49" fontId="22" fillId="17" borderId="99" xfId="0" applyNumberFormat="1" applyFont="1" applyFill="1" applyBorder="1" applyAlignment="1" applyProtection="1">
      <alignment horizontal="left" vertical="top"/>
      <protection locked="0"/>
    </xf>
    <xf numFmtId="1" fontId="24" fillId="21" borderId="30" xfId="0" applyNumberFormat="1" applyFont="1" applyFill="1" applyBorder="1" applyAlignment="1">
      <alignment horizontal="center" vertical="center"/>
    </xf>
    <xf numFmtId="1" fontId="24" fillId="21" borderId="52" xfId="0" applyNumberFormat="1" applyFont="1" applyFill="1" applyBorder="1" applyAlignment="1">
      <alignment horizontal="center" vertical="center"/>
    </xf>
    <xf numFmtId="49" fontId="20" fillId="21" borderId="94" xfId="0" applyNumberFormat="1" applyFont="1" applyFill="1" applyBorder="1" applyAlignment="1">
      <alignment horizontal="center" vertical="center"/>
    </xf>
    <xf numFmtId="49" fontId="20" fillId="21" borderId="47" xfId="0" applyNumberFormat="1" applyFont="1" applyFill="1" applyBorder="1" applyAlignment="1">
      <alignment horizontal="center" vertical="center"/>
    </xf>
    <xf numFmtId="49" fontId="20" fillId="21" borderId="100" xfId="0" applyNumberFormat="1" applyFont="1" applyFill="1" applyBorder="1" applyAlignment="1">
      <alignment horizontal="center" vertical="center"/>
    </xf>
    <xf numFmtId="49" fontId="20" fillId="21" borderId="41" xfId="0" applyNumberFormat="1" applyFont="1" applyFill="1" applyBorder="1" applyAlignment="1">
      <alignment horizontal="center" vertical="center"/>
    </xf>
    <xf numFmtId="1" fontId="24" fillId="21" borderId="32" xfId="0" applyNumberFormat="1" applyFont="1" applyFill="1" applyBorder="1" applyAlignment="1">
      <alignment horizontal="center" vertical="center"/>
    </xf>
    <xf numFmtId="49" fontId="33" fillId="21" borderId="41" xfId="0" applyNumberFormat="1" applyFont="1" applyFill="1" applyBorder="1" applyAlignment="1">
      <alignment horizontal="left" vertical="center" wrapText="1"/>
    </xf>
    <xf numFmtId="1" fontId="33" fillId="21" borderId="41" xfId="0" applyNumberFormat="1" applyFont="1" applyFill="1" applyBorder="1" applyAlignment="1">
      <alignment horizontal="left" vertical="center" wrapText="1"/>
    </xf>
    <xf numFmtId="1" fontId="33" fillId="21" borderId="101" xfId="0" applyNumberFormat="1" applyFont="1" applyFill="1" applyBorder="1" applyAlignment="1">
      <alignment horizontal="left" vertical="center" wrapText="1"/>
    </xf>
    <xf numFmtId="1" fontId="35" fillId="20" borderId="30" xfId="0" applyNumberFormat="1" applyFont="1" applyFill="1" applyBorder="1" applyAlignment="1">
      <alignment horizontal="center" vertical="center"/>
    </xf>
    <xf numFmtId="1" fontId="35" fillId="20" borderId="52" xfId="0" applyNumberFormat="1" applyFont="1" applyFill="1" applyBorder="1" applyAlignment="1">
      <alignment horizontal="center" vertical="center"/>
    </xf>
    <xf numFmtId="49" fontId="21" fillId="21" borderId="32" xfId="0" applyNumberFormat="1" applyFont="1" applyFill="1" applyBorder="1" applyAlignment="1">
      <alignment horizontal="left" vertical="center"/>
    </xf>
    <xf numFmtId="1" fontId="21" fillId="21" borderId="32" xfId="0" applyNumberFormat="1" applyFont="1" applyFill="1" applyBorder="1" applyAlignment="1">
      <alignment horizontal="left" vertical="center"/>
    </xf>
    <xf numFmtId="49" fontId="23" fillId="21" borderId="32" xfId="0" applyNumberFormat="1" applyFont="1" applyFill="1" applyBorder="1" applyAlignment="1">
      <alignment horizontal="center" vertical="center"/>
    </xf>
    <xf numFmtId="49" fontId="22" fillId="21" borderId="51" xfId="0" applyNumberFormat="1" applyFont="1" applyFill="1" applyBorder="1" applyAlignment="1">
      <alignment horizontal="right" vertical="center"/>
    </xf>
    <xf numFmtId="1" fontId="22" fillId="21" borderId="30" xfId="0" applyNumberFormat="1" applyFont="1" applyFill="1" applyBorder="1" applyAlignment="1">
      <alignment horizontal="right" vertical="center"/>
    </xf>
    <xf numFmtId="1" fontId="22" fillId="21" borderId="51" xfId="0" applyNumberFormat="1" applyFont="1" applyFill="1" applyBorder="1" applyAlignment="1">
      <alignment horizontal="right" vertical="center"/>
    </xf>
    <xf numFmtId="1" fontId="26" fillId="21" borderId="51" xfId="0" applyNumberFormat="1" applyFont="1" applyFill="1" applyBorder="1" applyAlignment="1">
      <alignment horizontal="center" vertical="center"/>
    </xf>
    <xf numFmtId="1" fontId="26" fillId="21" borderId="30" xfId="0" applyNumberFormat="1" applyFont="1" applyFill="1" applyBorder="1" applyAlignment="1">
      <alignment horizontal="center" vertical="center"/>
    </xf>
    <xf numFmtId="1" fontId="26" fillId="21" borderId="52" xfId="0" applyNumberFormat="1" applyFont="1" applyFill="1" applyBorder="1" applyAlignment="1">
      <alignment horizontal="center" vertical="center"/>
    </xf>
    <xf numFmtId="164" fontId="23" fillId="17" borderId="51" xfId="0" applyNumberFormat="1" applyFont="1" applyFill="1" applyBorder="1" applyAlignment="1" applyProtection="1">
      <alignment horizontal="center" vertical="center"/>
      <protection locked="0"/>
    </xf>
    <xf numFmtId="164" fontId="23" fillId="17" borderId="30" xfId="0" applyNumberFormat="1" applyFont="1" applyFill="1" applyBorder="1" applyAlignment="1" applyProtection="1">
      <alignment horizontal="center" vertical="center"/>
      <protection locked="0"/>
    </xf>
    <xf numFmtId="164" fontId="23" fillId="17" borderId="52" xfId="0" applyNumberFormat="1" applyFont="1" applyFill="1" applyBorder="1" applyAlignment="1" applyProtection="1">
      <alignment horizontal="center" vertical="center"/>
      <protection locked="0"/>
    </xf>
    <xf numFmtId="49" fontId="26" fillId="21" borderId="32" xfId="0" applyNumberFormat="1" applyFont="1" applyFill="1" applyBorder="1" applyAlignment="1">
      <alignment horizontal="left" vertical="center"/>
    </xf>
    <xf numFmtId="1" fontId="26" fillId="21" borderId="32" xfId="0" applyNumberFormat="1" applyFont="1" applyFill="1" applyBorder="1" applyAlignment="1">
      <alignment horizontal="left" vertical="center"/>
    </xf>
    <xf numFmtId="0" fontId="23" fillId="17" borderId="32" xfId="0" applyFont="1" applyFill="1" applyBorder="1" applyAlignment="1" applyProtection="1">
      <alignment horizontal="center" vertical="center"/>
      <protection locked="0"/>
    </xf>
    <xf numFmtId="49" fontId="0" fillId="21" borderId="32" xfId="0" applyNumberFormat="1" applyFont="1" applyFill="1" applyBorder="1" applyAlignment="1">
      <alignment vertical="center" wrapText="1"/>
    </xf>
    <xf numFmtId="1" fontId="0" fillId="21" borderId="32" xfId="0" applyNumberFormat="1" applyFont="1" applyFill="1" applyBorder="1" applyAlignment="1">
      <alignment vertical="center" wrapText="1"/>
    </xf>
    <xf numFmtId="1" fontId="23" fillId="21" borderId="32" xfId="0" applyNumberFormat="1" applyFont="1" applyFill="1" applyBorder="1" applyAlignment="1">
      <alignment horizontal="center" vertical="center"/>
    </xf>
    <xf numFmtId="1" fontId="23" fillId="21" borderId="51" xfId="0" applyNumberFormat="1" applyFont="1" applyFill="1" applyBorder="1" applyAlignment="1">
      <alignment horizontal="center" vertical="center"/>
    </xf>
    <xf numFmtId="49" fontId="23" fillId="21" borderId="51" xfId="0" applyNumberFormat="1" applyFont="1" applyFill="1" applyBorder="1" applyAlignment="1">
      <alignment horizontal="center" vertical="center"/>
    </xf>
    <xf numFmtId="49" fontId="23" fillId="21" borderId="52" xfId="0" applyNumberFormat="1" applyFont="1" applyFill="1" applyBorder="1" applyAlignment="1">
      <alignment horizontal="center" vertical="center"/>
    </xf>
    <xf numFmtId="1" fontId="32" fillId="17" borderId="51" xfId="0" applyNumberFormat="1" applyFont="1" applyFill="1" applyBorder="1" applyAlignment="1">
      <alignment horizontal="center" vertical="center"/>
    </xf>
    <xf numFmtId="1" fontId="32" fillId="17" borderId="52" xfId="0" applyNumberFormat="1" applyFont="1" applyFill="1" applyBorder="1" applyAlignment="1">
      <alignment horizontal="center" vertical="center"/>
    </xf>
    <xf numFmtId="49" fontId="23" fillId="17" borderId="51" xfId="0" applyNumberFormat="1" applyFont="1" applyFill="1" applyBorder="1" applyAlignment="1">
      <alignment horizontal="center" vertical="center"/>
    </xf>
    <xf numFmtId="49" fontId="23" fillId="17" borderId="52" xfId="0" applyNumberFormat="1" applyFont="1" applyFill="1" applyBorder="1" applyAlignment="1">
      <alignment horizontal="center" vertical="center"/>
    </xf>
    <xf numFmtId="1" fontId="7" fillId="17" borderId="32" xfId="0" applyNumberFormat="1" applyFont="1" applyFill="1" applyBorder="1" applyAlignment="1" applyProtection="1">
      <alignment horizontal="center" vertical="center"/>
      <protection locked="0"/>
    </xf>
    <xf numFmtId="1" fontId="27" fillId="17" borderId="32" xfId="0" applyNumberFormat="1" applyFont="1" applyFill="1" applyBorder="1" applyAlignment="1" applyProtection="1">
      <alignment horizontal="center" vertical="center"/>
      <protection locked="0"/>
    </xf>
    <xf numFmtId="49" fontId="7" fillId="21" borderId="32" xfId="0" applyNumberFormat="1" applyFont="1" applyFill="1" applyBorder="1" applyAlignment="1">
      <alignment horizontal="right" vertical="center"/>
    </xf>
    <xf numFmtId="1" fontId="0" fillId="21" borderId="32" xfId="0" applyNumberFormat="1" applyFont="1" applyFill="1" applyBorder="1" applyAlignment="1">
      <alignment horizontal="center" vertical="center"/>
    </xf>
    <xf numFmtId="49" fontId="24" fillId="17" borderId="58" xfId="0" applyNumberFormat="1" applyFont="1" applyFill="1" applyBorder="1" applyAlignment="1" applyProtection="1">
      <alignment horizontal="left" vertical="top"/>
      <protection locked="0"/>
    </xf>
    <xf numFmtId="1" fontId="23" fillId="17" borderId="30" xfId="0" applyNumberFormat="1" applyFont="1" applyFill="1" applyBorder="1" applyAlignment="1" applyProtection="1">
      <alignment horizontal="center" vertical="center"/>
      <protection locked="0"/>
    </xf>
    <xf numFmtId="1" fontId="7" fillId="17" borderId="51" xfId="0" applyNumberFormat="1" applyFont="1" applyFill="1" applyBorder="1" applyAlignment="1" applyProtection="1">
      <alignment horizontal="center" vertical="center"/>
      <protection locked="0"/>
    </xf>
    <xf numFmtId="1" fontId="0" fillId="17" borderId="30" xfId="0" applyNumberFormat="1" applyFont="1" applyFill="1" applyBorder="1" applyAlignment="1" applyProtection="1">
      <alignment horizontal="center" vertical="center"/>
      <protection locked="0"/>
    </xf>
    <xf numFmtId="1" fontId="0" fillId="17" borderId="52" xfId="0" applyNumberFormat="1" applyFont="1" applyFill="1" applyBorder="1" applyAlignment="1" applyProtection="1">
      <alignment horizontal="center" vertical="center"/>
      <protection locked="0"/>
    </xf>
    <xf numFmtId="1" fontId="27" fillId="17" borderId="52" xfId="0" applyNumberFormat="1" applyFont="1" applyFill="1" applyBorder="1" applyAlignment="1" applyProtection="1">
      <alignment horizontal="center" vertical="center"/>
      <protection locked="0"/>
    </xf>
    <xf numFmtId="1" fontId="7" fillId="17" borderId="30" xfId="0" applyNumberFormat="1" applyFont="1" applyFill="1" applyBorder="1" applyAlignment="1" applyProtection="1">
      <alignment horizontal="center" vertical="center"/>
      <protection locked="0"/>
    </xf>
    <xf numFmtId="1" fontId="27" fillId="17" borderId="30" xfId="0" applyNumberFormat="1" applyFont="1" applyFill="1" applyBorder="1" applyAlignment="1" applyProtection="1">
      <alignment horizontal="center" vertical="center"/>
      <protection locked="0"/>
    </xf>
    <xf numFmtId="49" fontId="24" fillId="17" borderId="32" xfId="0" applyNumberFormat="1" applyFont="1" applyFill="1" applyBorder="1" applyAlignment="1" applyProtection="1">
      <alignment horizontal="left" vertical="top"/>
      <protection locked="0"/>
    </xf>
    <xf numFmtId="1" fontId="23" fillId="17" borderId="51" xfId="0" applyNumberFormat="1" applyFont="1" applyFill="1" applyBorder="1" applyAlignment="1" applyProtection="1">
      <alignment horizontal="center" vertical="center"/>
      <protection locked="0"/>
    </xf>
    <xf numFmtId="0" fontId="0" fillId="17" borderId="32" xfId="0" applyFont="1" applyFill="1" applyBorder="1" applyAlignment="1">
      <alignment/>
    </xf>
    <xf numFmtId="0" fontId="0" fillId="17" borderId="32" xfId="0" applyFont="1" applyFill="1" applyBorder="1" applyAlignment="1" applyProtection="1">
      <alignment/>
      <protection locked="0"/>
    </xf>
    <xf numFmtId="49" fontId="21" fillId="21" borderId="102" xfId="0" applyNumberFormat="1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/>
    </xf>
    <xf numFmtId="0" fontId="0" fillId="17" borderId="11" xfId="0" applyFont="1" applyFill="1" applyBorder="1" applyAlignment="1">
      <alignment/>
    </xf>
    <xf numFmtId="0" fontId="0" fillId="17" borderId="103" xfId="0" applyFont="1" applyFill="1" applyBorder="1" applyAlignment="1">
      <alignment/>
    </xf>
    <xf numFmtId="0" fontId="0" fillId="17" borderId="104" xfId="0" applyFont="1" applyFill="1" applyBorder="1" applyAlignment="1">
      <alignment/>
    </xf>
    <xf numFmtId="1" fontId="37" fillId="20" borderId="30" xfId="0" applyNumberFormat="1" applyFont="1" applyFill="1" applyBorder="1" applyAlignment="1">
      <alignment horizontal="center" vertical="center"/>
    </xf>
    <xf numFmtId="49" fontId="0" fillId="21" borderId="51" xfId="0" applyNumberFormat="1" applyFont="1" applyFill="1" applyBorder="1" applyAlignment="1">
      <alignment horizontal="center" vertical="center"/>
    </xf>
    <xf numFmtId="49" fontId="0" fillId="21" borderId="30" xfId="0" applyNumberFormat="1" applyFont="1" applyFill="1" applyBorder="1" applyAlignment="1">
      <alignment horizontal="center" vertical="center"/>
    </xf>
    <xf numFmtId="49" fontId="0" fillId="21" borderId="52" xfId="0" applyNumberFormat="1" applyFont="1" applyFill="1" applyBorder="1" applyAlignment="1">
      <alignment horizontal="center" vertical="center"/>
    </xf>
    <xf numFmtId="49" fontId="24" fillId="32" borderId="51" xfId="0" applyNumberFormat="1" applyFont="1" applyFill="1" applyBorder="1" applyAlignment="1">
      <alignment horizontal="center" vertical="center"/>
    </xf>
    <xf numFmtId="49" fontId="23" fillId="32" borderId="30" xfId="0" applyNumberFormat="1" applyFont="1" applyFill="1" applyBorder="1" applyAlignment="1">
      <alignment horizontal="center" vertical="center"/>
    </xf>
    <xf numFmtId="49" fontId="23" fillId="32" borderId="52" xfId="0" applyNumberFormat="1" applyFont="1" applyFill="1" applyBorder="1" applyAlignment="1">
      <alignment horizontal="center" vertical="center"/>
    </xf>
    <xf numFmtId="1" fontId="24" fillId="21" borderId="51" xfId="0" applyNumberFormat="1" applyFont="1" applyFill="1" applyBorder="1" applyAlignment="1">
      <alignment horizontal="center" vertical="center"/>
    </xf>
    <xf numFmtId="49" fontId="20" fillId="21" borderId="105" xfId="0" applyNumberFormat="1" applyFont="1" applyFill="1" applyBorder="1" applyAlignment="1">
      <alignment horizontal="center" vertical="center"/>
    </xf>
    <xf numFmtId="49" fontId="20" fillId="21" borderId="106" xfId="0" applyNumberFormat="1" applyFont="1" applyFill="1" applyBorder="1" applyAlignment="1">
      <alignment horizontal="center" vertical="center"/>
    </xf>
    <xf numFmtId="49" fontId="20" fillId="21" borderId="107" xfId="0" applyNumberFormat="1" applyFont="1" applyFill="1" applyBorder="1" applyAlignment="1">
      <alignment horizontal="center" vertical="center"/>
    </xf>
    <xf numFmtId="49" fontId="20" fillId="21" borderId="103" xfId="0" applyNumberFormat="1" applyFont="1" applyFill="1" applyBorder="1" applyAlignment="1">
      <alignment horizontal="center" vertical="center"/>
    </xf>
    <xf numFmtId="49" fontId="7" fillId="21" borderId="51" xfId="0" applyNumberFormat="1" applyFont="1" applyFill="1" applyBorder="1" applyAlignment="1">
      <alignment horizontal="center" vertical="center"/>
    </xf>
    <xf numFmtId="1" fontId="27" fillId="21" borderId="30" xfId="0" applyNumberFormat="1" applyFont="1" applyFill="1" applyBorder="1" applyAlignment="1">
      <alignment horizontal="center" vertical="center"/>
    </xf>
    <xf numFmtId="1" fontId="27" fillId="21" borderId="52" xfId="0" applyNumberFormat="1" applyFont="1" applyFill="1" applyBorder="1" applyAlignment="1">
      <alignment horizontal="center" vertical="center"/>
    </xf>
    <xf numFmtId="49" fontId="24" fillId="21" borderId="30" xfId="0" applyNumberFormat="1" applyFont="1" applyFill="1" applyBorder="1" applyAlignment="1">
      <alignment horizontal="right" vertical="center"/>
    </xf>
    <xf numFmtId="1" fontId="23" fillId="21" borderId="30" xfId="0" applyNumberFormat="1" applyFont="1" applyFill="1" applyBorder="1" applyAlignment="1">
      <alignment horizontal="right" vertical="center"/>
    </xf>
    <xf numFmtId="49" fontId="23" fillId="17" borderId="0" xfId="0" applyNumberFormat="1" applyFont="1" applyFill="1" applyBorder="1" applyAlignment="1">
      <alignment horizontal="center" vertical="center"/>
    </xf>
    <xf numFmtId="1" fontId="23" fillId="17" borderId="0" xfId="0" applyNumberFormat="1" applyFont="1" applyFill="1" applyBorder="1" applyAlignment="1">
      <alignment horizontal="center" vertical="center"/>
    </xf>
    <xf numFmtId="1" fontId="24" fillId="17" borderId="32" xfId="0" applyNumberFormat="1" applyFont="1" applyFill="1" applyBorder="1" applyAlignment="1" applyProtection="1">
      <alignment horizontal="center" vertical="center"/>
      <protection locked="0"/>
    </xf>
    <xf numFmtId="1" fontId="24" fillId="17" borderId="30" xfId="0" applyNumberFormat="1" applyFont="1" applyFill="1" applyBorder="1" applyAlignment="1" applyProtection="1">
      <alignment horizontal="left" vertical="top"/>
      <protection locked="0"/>
    </xf>
    <xf numFmtId="1" fontId="23" fillId="17" borderId="52" xfId="0" applyNumberFormat="1" applyFont="1" applyFill="1" applyBorder="1" applyAlignment="1" applyProtection="1">
      <alignment horizontal="center" vertical="center"/>
      <protection locked="0"/>
    </xf>
    <xf numFmtId="49" fontId="7" fillId="21" borderId="32" xfId="0" applyNumberFormat="1" applyFont="1" applyFill="1" applyBorder="1" applyAlignment="1">
      <alignment vertical="center"/>
    </xf>
    <xf numFmtId="49" fontId="24" fillId="17" borderId="32" xfId="0" applyNumberFormat="1" applyFont="1" applyFill="1" applyBorder="1" applyAlignment="1" applyProtection="1">
      <alignment horizontal="center" vertical="center"/>
      <protection locked="0"/>
    </xf>
    <xf numFmtId="49" fontId="24" fillId="21" borderId="51" xfId="0" applyNumberFormat="1" applyFont="1" applyFill="1" applyBorder="1" applyAlignment="1">
      <alignment horizontal="center"/>
    </xf>
    <xf numFmtId="1" fontId="23" fillId="21" borderId="52" xfId="0" applyNumberFormat="1" applyFont="1" applyFill="1" applyBorder="1" applyAlignment="1">
      <alignment horizontal="center"/>
    </xf>
    <xf numFmtId="49" fontId="30" fillId="17" borderId="0" xfId="0" applyNumberFormat="1" applyFont="1" applyFill="1" applyBorder="1" applyAlignment="1">
      <alignment horizontal="center" vertical="center"/>
    </xf>
    <xf numFmtId="1" fontId="30" fillId="17" borderId="0" xfId="0" applyNumberFormat="1" applyFont="1" applyFill="1" applyBorder="1" applyAlignment="1">
      <alignment horizontal="center" vertical="center"/>
    </xf>
    <xf numFmtId="49" fontId="24" fillId="4" borderId="32" xfId="0" applyNumberFormat="1" applyFont="1" applyFill="1" applyBorder="1" applyAlignment="1">
      <alignment horizontal="center" vertical="center"/>
    </xf>
    <xf numFmtId="1" fontId="23" fillId="4" borderId="32" xfId="0" applyNumberFormat="1" applyFont="1" applyFill="1" applyBorder="1" applyAlignment="1">
      <alignment horizontal="center" vertical="center"/>
    </xf>
    <xf numFmtId="1" fontId="7" fillId="17" borderId="51" xfId="0" applyNumberFormat="1" applyFont="1" applyFill="1" applyBorder="1" applyAlignment="1">
      <alignment horizontal="center" vertical="center"/>
    </xf>
    <xf numFmtId="1" fontId="0" fillId="17" borderId="52" xfId="0" applyNumberFormat="1" applyFont="1" applyFill="1" applyBorder="1" applyAlignment="1">
      <alignment horizontal="center" vertical="center"/>
    </xf>
    <xf numFmtId="49" fontId="24" fillId="17" borderId="51" xfId="0" applyNumberFormat="1" applyFont="1" applyFill="1" applyBorder="1" applyAlignment="1">
      <alignment horizontal="center" vertical="center"/>
    </xf>
    <xf numFmtId="49" fontId="23" fillId="21" borderId="52" xfId="0" applyNumberFormat="1" applyFont="1" applyFill="1" applyBorder="1" applyAlignment="1">
      <alignment horizontal="center"/>
    </xf>
    <xf numFmtId="1" fontId="24" fillId="17" borderId="51" xfId="0" applyNumberFormat="1" applyFont="1" applyFill="1" applyBorder="1" applyAlignment="1" applyProtection="1">
      <alignment horizontal="center" vertical="center"/>
      <protection locked="0"/>
    </xf>
    <xf numFmtId="49" fontId="26" fillId="21" borderId="10" xfId="0" applyNumberFormat="1" applyFont="1" applyFill="1" applyBorder="1" applyAlignment="1">
      <alignment horizontal="center" vertical="center"/>
    </xf>
    <xf numFmtId="49" fontId="21" fillId="21" borderId="10" xfId="0" applyNumberFormat="1" applyFont="1" applyFill="1" applyBorder="1" applyAlignment="1">
      <alignment horizontal="center" vertical="center"/>
    </xf>
    <xf numFmtId="49" fontId="21" fillId="21" borderId="11" xfId="0" applyNumberFormat="1" applyFont="1" applyFill="1" applyBorder="1" applyAlignment="1">
      <alignment horizontal="center" vertical="center"/>
    </xf>
    <xf numFmtId="49" fontId="21" fillId="21" borderId="25" xfId="0" applyNumberFormat="1" applyFont="1" applyFill="1" applyBorder="1" applyAlignment="1">
      <alignment horizontal="center" vertical="center"/>
    </xf>
    <xf numFmtId="49" fontId="21" fillId="21" borderId="27" xfId="0" applyNumberFormat="1" applyFont="1" applyFill="1" applyBorder="1" applyAlignment="1">
      <alignment horizontal="center" vertical="center"/>
    </xf>
    <xf numFmtId="49" fontId="37" fillId="21" borderId="9" xfId="0" applyNumberFormat="1" applyFont="1" applyFill="1" applyBorder="1" applyAlignment="1">
      <alignment horizontal="center" vertical="center"/>
    </xf>
    <xf numFmtId="49" fontId="20" fillId="21" borderId="10" xfId="0" applyNumberFormat="1" applyFont="1" applyFill="1" applyBorder="1" applyAlignment="1">
      <alignment horizontal="center" vertical="center"/>
    </xf>
    <xf numFmtId="49" fontId="20" fillId="21" borderId="57" xfId="0" applyNumberFormat="1" applyFont="1" applyFill="1" applyBorder="1" applyAlignment="1">
      <alignment horizontal="center" vertical="center"/>
    </xf>
    <xf numFmtId="49" fontId="20" fillId="21" borderId="25" xfId="0" applyNumberFormat="1" applyFont="1" applyFill="1" applyBorder="1" applyAlignment="1">
      <alignment horizontal="center" vertical="center"/>
    </xf>
    <xf numFmtId="49" fontId="18" fillId="21" borderId="81" xfId="0" applyNumberFormat="1" applyFont="1" applyFill="1" applyBorder="1" applyAlignment="1">
      <alignment horizontal="center" vertical="center"/>
    </xf>
    <xf numFmtId="0" fontId="18" fillId="13" borderId="81" xfId="0" applyFont="1" applyFill="1" applyBorder="1" applyAlignment="1">
      <alignment horizontal="center" vertical="center"/>
    </xf>
    <xf numFmtId="49" fontId="2" fillId="21" borderId="17" xfId="0" applyNumberFormat="1" applyFont="1" applyFill="1" applyBorder="1" applyAlignment="1">
      <alignment horizontal="center" vertical="center"/>
    </xf>
    <xf numFmtId="49" fontId="2" fillId="13" borderId="17" xfId="0" applyNumberFormat="1" applyFont="1" applyFill="1" applyBorder="1" applyAlignment="1">
      <alignment horizontal="center" vertical="center"/>
    </xf>
    <xf numFmtId="49" fontId="2" fillId="17" borderId="108" xfId="0" applyNumberFormat="1" applyFont="1" applyFill="1" applyBorder="1" applyAlignment="1">
      <alignment horizontal="left" vertical="top"/>
    </xf>
    <xf numFmtId="0" fontId="2" fillId="17" borderId="60" xfId="0" applyFont="1" applyFill="1" applyBorder="1" applyAlignment="1">
      <alignment horizontal="left" vertical="top"/>
    </xf>
    <xf numFmtId="49" fontId="2" fillId="21" borderId="17" xfId="0" applyNumberFormat="1" applyFont="1" applyFill="1" applyBorder="1" applyAlignment="1">
      <alignment horizontal="left" vertical="center"/>
    </xf>
    <xf numFmtId="0" fontId="2" fillId="13" borderId="17" xfId="0" applyFont="1" applyFill="1" applyBorder="1" applyAlignment="1">
      <alignment horizontal="left" vertical="center"/>
    </xf>
    <xf numFmtId="0" fontId="2" fillId="21" borderId="66" xfId="0" applyNumberFormat="1" applyFont="1" applyFill="1" applyBorder="1" applyAlignment="1">
      <alignment horizontal="center" vertical="center"/>
    </xf>
    <xf numFmtId="0" fontId="2" fillId="13" borderId="66" xfId="0" applyFont="1" applyFill="1" applyBorder="1" applyAlignment="1">
      <alignment horizontal="center" vertical="center"/>
    </xf>
    <xf numFmtId="0" fontId="0" fillId="17" borderId="17" xfId="0" applyFont="1" applyFill="1" applyBorder="1" applyAlignment="1">
      <alignment vertical="center"/>
    </xf>
    <xf numFmtId="49" fontId="0" fillId="21" borderId="17" xfId="0" applyNumberFormat="1" applyFont="1" applyFill="1" applyBorder="1" applyAlignment="1">
      <alignment vertical="center"/>
    </xf>
    <xf numFmtId="0" fontId="0" fillId="13" borderId="17" xfId="0" applyFont="1" applyFill="1" applyBorder="1" applyAlignment="1">
      <alignment vertical="center"/>
    </xf>
    <xf numFmtId="165" fontId="10" fillId="17" borderId="17" xfId="0" applyNumberFormat="1" applyFont="1" applyFill="1" applyBorder="1" applyAlignment="1">
      <alignment horizontal="center" vertical="center"/>
    </xf>
    <xf numFmtId="0" fontId="0" fillId="17" borderId="109" xfId="0" applyFont="1" applyFill="1" applyBorder="1" applyAlignment="1">
      <alignment vertical="center"/>
    </xf>
    <xf numFmtId="49" fontId="2" fillId="17" borderId="110" xfId="0" applyNumberFormat="1" applyFont="1" applyFill="1" applyBorder="1" applyAlignment="1">
      <alignment horizontal="left" vertical="top" wrapText="1"/>
    </xf>
    <xf numFmtId="0" fontId="2" fillId="17" borderId="111" xfId="0" applyFont="1" applyFill="1" applyBorder="1" applyAlignment="1">
      <alignment horizontal="left" vertical="top" wrapText="1"/>
    </xf>
    <xf numFmtId="0" fontId="2" fillId="17" borderId="112" xfId="0" applyFont="1" applyFill="1" applyBorder="1" applyAlignment="1">
      <alignment horizontal="left" vertical="top" wrapText="1"/>
    </xf>
    <xf numFmtId="0" fontId="2" fillId="17" borderId="60" xfId="0" applyFont="1" applyFill="1" applyBorder="1" applyAlignment="1">
      <alignment horizontal="center" vertical="center"/>
    </xf>
    <xf numFmtId="49" fontId="18" fillId="21" borderId="113" xfId="0" applyNumberFormat="1" applyFont="1" applyFill="1" applyBorder="1" applyAlignment="1">
      <alignment horizontal="center" vertical="center" wrapText="1"/>
    </xf>
    <xf numFmtId="0" fontId="18" fillId="21" borderId="111" xfId="0" applyFont="1" applyFill="1" applyBorder="1" applyAlignment="1">
      <alignment horizontal="center" vertical="center" wrapText="1"/>
    </xf>
    <xf numFmtId="0" fontId="18" fillId="21" borderId="114" xfId="0" applyFont="1" applyFill="1" applyBorder="1" applyAlignment="1">
      <alignment horizontal="center" vertical="center" wrapText="1"/>
    </xf>
    <xf numFmtId="49" fontId="18" fillId="13" borderId="81" xfId="0" applyNumberFormat="1" applyFont="1" applyFill="1" applyBorder="1" applyAlignment="1">
      <alignment horizontal="center" vertical="center"/>
    </xf>
    <xf numFmtId="49" fontId="2" fillId="21" borderId="17" xfId="0" applyNumberFormat="1" applyFont="1" applyFill="1" applyBorder="1" applyAlignment="1">
      <alignment horizontal="left" vertical="center" wrapText="1"/>
    </xf>
    <xf numFmtId="0" fontId="2" fillId="13" borderId="17" xfId="0" applyFont="1" applyFill="1" applyBorder="1" applyAlignment="1">
      <alignment horizontal="left" vertical="center" wrapText="1"/>
    </xf>
    <xf numFmtId="0" fontId="2" fillId="13" borderId="42" xfId="0" applyFont="1" applyFill="1" applyBorder="1" applyAlignment="1">
      <alignment horizontal="left" vertical="center" wrapText="1"/>
    </xf>
    <xf numFmtId="0" fontId="0" fillId="13" borderId="109" xfId="0" applyFont="1" applyFill="1" applyBorder="1" applyAlignment="1">
      <alignment vertical="center"/>
    </xf>
    <xf numFmtId="49" fontId="0" fillId="21" borderId="17" xfId="0" applyNumberFormat="1" applyFont="1" applyFill="1" applyBorder="1" applyAlignment="1">
      <alignment horizontal="center" vertical="center"/>
    </xf>
    <xf numFmtId="0" fontId="0" fillId="13" borderId="109" xfId="0" applyFont="1" applyFill="1" applyBorder="1" applyAlignment="1">
      <alignment horizontal="center" vertical="center"/>
    </xf>
    <xf numFmtId="49" fontId="39" fillId="17" borderId="115" xfId="0" applyNumberFormat="1" applyFont="1" applyFill="1" applyBorder="1" applyAlignment="1">
      <alignment horizontal="center" vertical="center"/>
    </xf>
    <xf numFmtId="0" fontId="39" fillId="17" borderId="74" xfId="0" applyFont="1" applyFill="1" applyBorder="1" applyAlignment="1">
      <alignment horizontal="center" vertical="center"/>
    </xf>
    <xf numFmtId="0" fontId="7" fillId="17" borderId="116" xfId="0" applyFont="1" applyFill="1" applyBorder="1" applyAlignment="1">
      <alignment horizontal="center" vertical="center"/>
    </xf>
    <xf numFmtId="0" fontId="7" fillId="17" borderId="117" xfId="0" applyFont="1" applyFill="1" applyBorder="1" applyAlignment="1">
      <alignment horizontal="center" vertical="center"/>
    </xf>
    <xf numFmtId="49" fontId="0" fillId="21" borderId="118" xfId="0" applyNumberFormat="1" applyFont="1" applyFill="1" applyBorder="1" applyAlignment="1">
      <alignment vertical="center"/>
    </xf>
    <xf numFmtId="0" fontId="0" fillId="13" borderId="119" xfId="0" applyFont="1" applyFill="1" applyBorder="1" applyAlignment="1">
      <alignment vertical="center"/>
    </xf>
    <xf numFmtId="49" fontId="39" fillId="17" borderId="41" xfId="0" applyNumberFormat="1" applyFont="1" applyFill="1" applyBorder="1" applyAlignment="1">
      <alignment horizontal="center" vertical="center"/>
    </xf>
    <xf numFmtId="0" fontId="39" fillId="17" borderId="41" xfId="0" applyFont="1" applyFill="1" applyBorder="1" applyAlignment="1">
      <alignment horizontal="center" vertical="center"/>
    </xf>
    <xf numFmtId="165" fontId="5" fillId="17" borderId="120" xfId="0" applyNumberFormat="1" applyFont="1" applyFill="1" applyBorder="1" applyAlignment="1">
      <alignment horizontal="center" vertical="center"/>
    </xf>
    <xf numFmtId="165" fontId="5" fillId="17" borderId="121" xfId="0" applyNumberFormat="1" applyFont="1" applyFill="1" applyBorder="1" applyAlignment="1">
      <alignment horizontal="center" vertical="center"/>
    </xf>
    <xf numFmtId="165" fontId="5" fillId="17" borderId="122" xfId="0" applyNumberFormat="1" applyFont="1" applyFill="1" applyBorder="1" applyAlignment="1">
      <alignment horizontal="center" vertical="center"/>
    </xf>
    <xf numFmtId="49" fontId="39" fillId="17" borderId="74" xfId="0" applyNumberFormat="1" applyFont="1" applyFill="1" applyBorder="1" applyAlignment="1">
      <alignment horizontal="center" vertical="center"/>
    </xf>
    <xf numFmtId="165" fontId="9" fillId="17" borderId="123" xfId="0" applyNumberFormat="1" applyFont="1" applyFill="1" applyBorder="1" applyAlignment="1">
      <alignment horizontal="center" vertical="center"/>
    </xf>
    <xf numFmtId="165" fontId="9" fillId="17" borderId="116" xfId="0" applyNumberFormat="1" applyFont="1" applyFill="1" applyBorder="1" applyAlignment="1">
      <alignment horizontal="center" vertical="center"/>
    </xf>
    <xf numFmtId="49" fontId="18" fillId="21" borderId="124" xfId="0" applyNumberFormat="1" applyFont="1" applyFill="1" applyBorder="1" applyAlignment="1">
      <alignment horizontal="center" vertical="center"/>
    </xf>
    <xf numFmtId="0" fontId="18" fillId="13" borderId="125" xfId="0" applyFont="1" applyFill="1" applyBorder="1" applyAlignment="1">
      <alignment horizontal="center" vertical="center"/>
    </xf>
    <xf numFmtId="49" fontId="18" fillId="21" borderId="126" xfId="0" applyNumberFormat="1" applyFont="1" applyFill="1" applyBorder="1" applyAlignment="1">
      <alignment horizontal="right" vertical="center"/>
    </xf>
    <xf numFmtId="0" fontId="18" fillId="13" borderId="118" xfId="0" applyFont="1" applyFill="1" applyBorder="1" applyAlignment="1">
      <alignment horizontal="center" vertical="center"/>
    </xf>
    <xf numFmtId="0" fontId="18" fillId="13" borderId="119" xfId="0" applyFont="1" applyFill="1" applyBorder="1" applyAlignment="1">
      <alignment horizontal="center" vertical="center"/>
    </xf>
    <xf numFmtId="49" fontId="27" fillId="17" borderId="17" xfId="0" applyNumberFormat="1" applyFont="1" applyFill="1" applyBorder="1" applyAlignment="1">
      <alignment horizontal="center" vertical="center"/>
    </xf>
    <xf numFmtId="0" fontId="27" fillId="17" borderId="109" xfId="0" applyFont="1" applyFill="1" applyBorder="1" applyAlignment="1">
      <alignment horizontal="center" vertical="center"/>
    </xf>
    <xf numFmtId="49" fontId="39" fillId="17" borderId="127" xfId="0" applyNumberFormat="1" applyFont="1" applyFill="1" applyBorder="1" applyAlignment="1">
      <alignment horizontal="center" vertical="center"/>
    </xf>
    <xf numFmtId="0" fontId="39" fillId="17" borderId="127" xfId="0" applyFont="1" applyFill="1" applyBorder="1" applyAlignment="1">
      <alignment horizontal="center" vertical="center"/>
    </xf>
    <xf numFmtId="165" fontId="10" fillId="17" borderId="118" xfId="0" applyNumberFormat="1" applyFont="1" applyFill="1" applyBorder="1" applyAlignment="1">
      <alignment horizontal="center" vertical="center"/>
    </xf>
    <xf numFmtId="49" fontId="2" fillId="21" borderId="43" xfId="0" applyNumberFormat="1" applyFont="1" applyFill="1" applyBorder="1" applyAlignment="1">
      <alignment horizontal="right" vertical="center"/>
    </xf>
    <xf numFmtId="0" fontId="2" fillId="13" borderId="17" xfId="0" applyFont="1" applyFill="1" applyBorder="1" applyAlignment="1">
      <alignment horizontal="center" vertical="center"/>
    </xf>
    <xf numFmtId="0" fontId="2" fillId="13" borderId="109" xfId="0" applyFont="1" applyFill="1" applyBorder="1" applyAlignment="1">
      <alignment horizontal="center" vertical="center"/>
    </xf>
    <xf numFmtId="49" fontId="27" fillId="17" borderId="17" xfId="55" applyNumberFormat="1" applyFont="1" applyFill="1" applyBorder="1" applyAlignment="1">
      <alignment horizontal="center" vertical="center"/>
    </xf>
    <xf numFmtId="0" fontId="27" fillId="17" borderId="42" xfId="55" applyFont="1" applyFill="1" applyBorder="1" applyAlignment="1">
      <alignment horizontal="center" vertical="center"/>
    </xf>
    <xf numFmtId="0" fontId="27" fillId="17" borderId="17" xfId="55" applyFont="1" applyFill="1" applyBorder="1" applyAlignment="1">
      <alignment horizontal="center" vertical="center"/>
    </xf>
    <xf numFmtId="49" fontId="39" fillId="17" borderId="17" xfId="55" applyNumberFormat="1" applyFont="1" applyFill="1" applyBorder="1" applyAlignment="1">
      <alignment horizontal="center" vertical="center"/>
    </xf>
    <xf numFmtId="0" fontId="39" fillId="17" borderId="42" xfId="55" applyFont="1" applyFill="1" applyBorder="1" applyAlignment="1">
      <alignment horizontal="center" vertical="center"/>
    </xf>
    <xf numFmtId="49" fontId="18" fillId="21" borderId="126" xfId="55" applyNumberFormat="1" applyFont="1" applyFill="1" applyBorder="1" applyAlignment="1">
      <alignment horizontal="right" vertical="center"/>
    </xf>
    <xf numFmtId="0" fontId="0" fillId="17" borderId="118" xfId="55" applyFont="1" applyFill="1" applyBorder="1" applyAlignment="1">
      <alignment/>
    </xf>
    <xf numFmtId="0" fontId="0" fillId="17" borderId="68" xfId="55" applyFont="1" applyFill="1" applyBorder="1" applyAlignment="1">
      <alignment/>
    </xf>
    <xf numFmtId="0" fontId="0" fillId="17" borderId="128" xfId="55" applyFont="1" applyFill="1" applyBorder="1" applyAlignment="1">
      <alignment/>
    </xf>
    <xf numFmtId="0" fontId="27" fillId="17" borderId="123" xfId="55" applyFont="1" applyFill="1" applyBorder="1" applyAlignment="1">
      <alignment horizontal="center" vertical="center"/>
    </xf>
    <xf numFmtId="0" fontId="27" fillId="17" borderId="116" xfId="55" applyFont="1" applyFill="1" applyBorder="1" applyAlignment="1">
      <alignment horizontal="center" vertical="center"/>
    </xf>
    <xf numFmtId="0" fontId="27" fillId="17" borderId="117" xfId="55" applyFont="1" applyFill="1" applyBorder="1" applyAlignment="1">
      <alignment horizontal="center" vertical="center"/>
    </xf>
    <xf numFmtId="49" fontId="39" fillId="17" borderId="41" xfId="55" applyNumberFormat="1" applyFont="1" applyFill="1" applyBorder="1" applyAlignment="1">
      <alignment horizontal="center" vertical="center"/>
    </xf>
    <xf numFmtId="0" fontId="39" fillId="17" borderId="41" xfId="55" applyFont="1" applyFill="1" applyBorder="1" applyAlignment="1">
      <alignment horizontal="center" vertical="center"/>
    </xf>
    <xf numFmtId="0" fontId="0" fillId="17" borderId="41" xfId="55" applyFont="1" applyFill="1" applyBorder="1" applyAlignment="1">
      <alignment/>
    </xf>
    <xf numFmtId="0" fontId="39" fillId="17" borderId="17" xfId="55" applyFont="1" applyFill="1" applyBorder="1" applyAlignment="1">
      <alignment horizontal="center" vertical="center"/>
    </xf>
    <xf numFmtId="49" fontId="2" fillId="21" borderId="17" xfId="55" applyNumberFormat="1" applyFont="1" applyFill="1" applyBorder="1" applyAlignment="1">
      <alignment horizontal="left" vertical="center"/>
    </xf>
    <xf numFmtId="0" fontId="2" fillId="13" borderId="17" xfId="55" applyFont="1" applyFill="1" applyBorder="1" applyAlignment="1">
      <alignment horizontal="left" vertical="center"/>
    </xf>
    <xf numFmtId="49" fontId="2" fillId="21" borderId="17" xfId="55" applyNumberFormat="1" applyFont="1" applyFill="1" applyBorder="1" applyAlignment="1">
      <alignment horizontal="center" vertical="center"/>
    </xf>
    <xf numFmtId="49" fontId="2" fillId="13" borderId="17" xfId="55" applyNumberFormat="1" applyFont="1" applyFill="1" applyBorder="1" applyAlignment="1">
      <alignment horizontal="center" vertical="center"/>
    </xf>
    <xf numFmtId="0" fontId="27" fillId="17" borderId="118" xfId="55" applyFont="1" applyFill="1" applyBorder="1" applyAlignment="1">
      <alignment horizontal="center" vertical="center"/>
    </xf>
    <xf numFmtId="49" fontId="27" fillId="21" borderId="118" xfId="55" applyNumberFormat="1" applyFont="1" applyFill="1" applyBorder="1" applyAlignment="1">
      <alignment horizontal="center" vertical="center"/>
    </xf>
    <xf numFmtId="0" fontId="27" fillId="13" borderId="119" xfId="55" applyFont="1" applyFill="1" applyBorder="1" applyAlignment="1">
      <alignment horizontal="center" vertical="center"/>
    </xf>
    <xf numFmtId="49" fontId="2" fillId="21" borderId="43" xfId="55" applyNumberFormat="1" applyFont="1" applyFill="1" applyBorder="1" applyAlignment="1">
      <alignment horizontal="right" vertical="center"/>
    </xf>
    <xf numFmtId="0" fontId="0" fillId="17" borderId="17" xfId="55" applyFont="1" applyFill="1" applyBorder="1" applyAlignment="1">
      <alignment/>
    </xf>
    <xf numFmtId="0" fontId="0" fillId="17" borderId="42" xfId="55" applyFont="1" applyFill="1" applyBorder="1" applyAlignment="1">
      <alignment/>
    </xf>
    <xf numFmtId="0" fontId="0" fillId="17" borderId="83" xfId="55" applyFont="1" applyFill="1" applyBorder="1" applyAlignment="1">
      <alignment/>
    </xf>
    <xf numFmtId="0" fontId="2" fillId="17" borderId="17" xfId="55" applyFont="1" applyFill="1" applyBorder="1" applyAlignment="1">
      <alignment horizontal="center" vertical="center"/>
    </xf>
    <xf numFmtId="0" fontId="2" fillId="17" borderId="42" xfId="55" applyFont="1" applyFill="1" applyBorder="1" applyAlignment="1">
      <alignment horizontal="center" vertical="center"/>
    </xf>
    <xf numFmtId="49" fontId="27" fillId="21" borderId="17" xfId="55" applyNumberFormat="1" applyFont="1" applyFill="1" applyBorder="1" applyAlignment="1">
      <alignment horizontal="center" vertical="center"/>
    </xf>
    <xf numFmtId="0" fontId="27" fillId="13" borderId="109" xfId="55" applyFont="1" applyFill="1" applyBorder="1" applyAlignment="1">
      <alignment horizontal="center" vertical="center"/>
    </xf>
    <xf numFmtId="49" fontId="18" fillId="21" borderId="81" xfId="55" applyNumberFormat="1" applyFont="1" applyFill="1" applyBorder="1" applyAlignment="1">
      <alignment horizontal="center" vertical="center"/>
    </xf>
    <xf numFmtId="0" fontId="18" fillId="13" borderId="129" xfId="55" applyFont="1" applyFill="1" applyBorder="1" applyAlignment="1">
      <alignment horizontal="center" vertical="center"/>
    </xf>
    <xf numFmtId="0" fontId="2" fillId="13" borderId="42" xfId="55" applyFont="1" applyFill="1" applyBorder="1" applyAlignment="1">
      <alignment horizontal="left" vertical="center"/>
    </xf>
    <xf numFmtId="0" fontId="27" fillId="13" borderId="17" xfId="55" applyFont="1" applyFill="1" applyBorder="1" applyAlignment="1">
      <alignment horizontal="center" vertical="center"/>
    </xf>
    <xf numFmtId="0" fontId="27" fillId="17" borderId="109" xfId="55" applyFont="1" applyFill="1" applyBorder="1" applyAlignment="1">
      <alignment horizontal="center" vertical="center"/>
    </xf>
    <xf numFmtId="0" fontId="18" fillId="13" borderId="81" xfId="55" applyFont="1" applyFill="1" applyBorder="1" applyAlignment="1">
      <alignment horizontal="center" vertical="center"/>
    </xf>
    <xf numFmtId="49" fontId="3" fillId="21" borderId="81" xfId="55" applyNumberFormat="1" applyFont="1" applyFill="1" applyBorder="1" applyAlignment="1">
      <alignment horizontal="center" vertical="center"/>
    </xf>
    <xf numFmtId="49" fontId="3" fillId="13" borderId="81" xfId="55" applyNumberFormat="1" applyFont="1" applyFill="1" applyBorder="1" applyAlignment="1">
      <alignment horizontal="center" vertical="center"/>
    </xf>
    <xf numFmtId="0" fontId="18" fillId="13" borderId="130" xfId="55" applyFont="1" applyFill="1" applyBorder="1" applyAlignment="1">
      <alignment horizontal="center" vertical="center"/>
    </xf>
    <xf numFmtId="0" fontId="0" fillId="17" borderId="64" xfId="55" applyFont="1" applyFill="1" applyBorder="1" applyAlignment="1">
      <alignment horizontal="center" vertical="center"/>
    </xf>
    <xf numFmtId="0" fontId="0" fillId="17" borderId="64" xfId="55" applyFont="1" applyFill="1" applyBorder="1" applyAlignment="1">
      <alignment/>
    </xf>
    <xf numFmtId="49" fontId="18" fillId="21" borderId="113" xfId="55" applyNumberFormat="1" applyFont="1" applyFill="1" applyBorder="1" applyAlignment="1">
      <alignment horizontal="center" vertical="center" wrapText="1"/>
    </xf>
    <xf numFmtId="0" fontId="18" fillId="21" borderId="111" xfId="55" applyFont="1" applyFill="1" applyBorder="1" applyAlignment="1">
      <alignment horizontal="center" vertical="center" wrapText="1"/>
    </xf>
    <xf numFmtId="0" fontId="18" fillId="21" borderId="114" xfId="55" applyFont="1" applyFill="1" applyBorder="1" applyAlignment="1">
      <alignment horizontal="center" vertical="center" wrapText="1"/>
    </xf>
    <xf numFmtId="49" fontId="2" fillId="17" borderId="110" xfId="55" applyNumberFormat="1" applyFont="1" applyFill="1" applyBorder="1" applyAlignment="1">
      <alignment horizontal="left" vertical="top" wrapText="1"/>
    </xf>
    <xf numFmtId="0" fontId="2" fillId="17" borderId="111" xfId="55" applyFont="1" applyFill="1" applyBorder="1" applyAlignment="1">
      <alignment horizontal="left" vertical="top" wrapText="1"/>
    </xf>
    <xf numFmtId="0" fontId="0" fillId="17" borderId="111" xfId="55" applyFont="1" applyFill="1" applyBorder="1" applyAlignment="1">
      <alignment/>
    </xf>
    <xf numFmtId="0" fontId="2" fillId="17" borderId="112" xfId="55" applyFont="1" applyFill="1" applyBorder="1" applyAlignment="1">
      <alignment horizontal="left" vertical="top" wrapText="1"/>
    </xf>
    <xf numFmtId="49" fontId="2" fillId="17" borderId="108" xfId="55" applyNumberFormat="1" applyFont="1" applyFill="1" applyBorder="1" applyAlignment="1">
      <alignment horizontal="left" vertical="top"/>
    </xf>
    <xf numFmtId="0" fontId="2" fillId="17" borderId="60" xfId="55" applyFont="1" applyFill="1" applyBorder="1" applyAlignment="1">
      <alignment horizontal="left" vertical="top"/>
    </xf>
    <xf numFmtId="49" fontId="2" fillId="17" borderId="62" xfId="55" applyNumberFormat="1" applyFont="1" applyFill="1" applyBorder="1" applyAlignment="1">
      <alignment horizontal="left" vertical="top"/>
    </xf>
    <xf numFmtId="0" fontId="2" fillId="17" borderId="60" xfId="55" applyFont="1" applyFill="1" applyBorder="1" applyAlignment="1">
      <alignment horizontal="center" vertical="center"/>
    </xf>
    <xf numFmtId="0" fontId="0" fillId="17" borderId="17" xfId="0" applyFont="1" applyFill="1" applyBorder="1" applyAlignment="1">
      <alignment horizontal="center" vertical="center"/>
    </xf>
    <xf numFmtId="0" fontId="0" fillId="17" borderId="42" xfId="0" applyFont="1" applyFill="1" applyBorder="1" applyAlignment="1">
      <alignment horizontal="center" vertical="center"/>
    </xf>
    <xf numFmtId="49" fontId="0" fillId="21" borderId="17" xfId="0" applyNumberFormat="1" applyFont="1" applyFill="1" applyBorder="1" applyAlignment="1">
      <alignment horizontal="center"/>
    </xf>
    <xf numFmtId="0" fontId="0" fillId="13" borderId="17" xfId="0" applyFont="1" applyFill="1" applyBorder="1" applyAlignment="1">
      <alignment horizontal="center"/>
    </xf>
    <xf numFmtId="0" fontId="0" fillId="17" borderId="17" xfId="0" applyFont="1" applyFill="1" applyBorder="1" applyAlignment="1">
      <alignment horizontal="center"/>
    </xf>
    <xf numFmtId="49" fontId="2" fillId="17" borderId="62" xfId="0" applyNumberFormat="1" applyFont="1" applyFill="1" applyBorder="1" applyAlignment="1">
      <alignment horizontal="left" vertical="top"/>
    </xf>
    <xf numFmtId="0" fontId="0" fillId="17" borderId="111" xfId="0" applyFont="1" applyFill="1" applyBorder="1" applyAlignment="1">
      <alignment/>
    </xf>
    <xf numFmtId="0" fontId="0" fillId="17" borderId="109" xfId="0" applyFont="1" applyFill="1" applyBorder="1" applyAlignment="1">
      <alignment horizontal="center"/>
    </xf>
    <xf numFmtId="0" fontId="18" fillId="13" borderId="130" xfId="0" applyFont="1" applyFill="1" applyBorder="1" applyAlignment="1">
      <alignment horizontal="center" vertical="center"/>
    </xf>
    <xf numFmtId="49" fontId="0" fillId="17" borderId="17" xfId="0" applyNumberFormat="1" applyFont="1" applyFill="1" applyBorder="1" applyAlignment="1">
      <alignment horizontal="center" vertical="center"/>
    </xf>
    <xf numFmtId="0" fontId="0" fillId="17" borderId="17" xfId="0" applyFont="1" applyFill="1" applyBorder="1" applyAlignment="1">
      <alignment/>
    </xf>
    <xf numFmtId="49" fontId="0" fillId="17" borderId="0" xfId="0" applyNumberFormat="1" applyFont="1" applyFill="1" applyBorder="1" applyAlignment="1">
      <alignment horizontal="center" vertical="center"/>
    </xf>
    <xf numFmtId="0" fontId="0" fillId="17" borderId="0" xfId="0" applyFont="1" applyFill="1" applyBorder="1" applyAlignment="1">
      <alignment horizontal="center" vertical="center"/>
    </xf>
    <xf numFmtId="49" fontId="0" fillId="17" borderId="17" xfId="0" applyNumberFormat="1" applyFont="1" applyFill="1" applyBorder="1" applyAlignment="1">
      <alignment horizontal="center"/>
    </xf>
    <xf numFmtId="0" fontId="0" fillId="17" borderId="109" xfId="0" applyFont="1" applyFill="1" applyBorder="1" applyAlignment="1">
      <alignment/>
    </xf>
    <xf numFmtId="0" fontId="0" fillId="17" borderId="115" xfId="0" applyFont="1" applyFill="1" applyBorder="1" applyAlignment="1">
      <alignment/>
    </xf>
    <xf numFmtId="0" fontId="0" fillId="17" borderId="66" xfId="0" applyFont="1" applyFill="1" applyBorder="1" applyAlignment="1">
      <alignment/>
    </xf>
    <xf numFmtId="49" fontId="2" fillId="21" borderId="17" xfId="0" applyNumberFormat="1" applyFont="1" applyFill="1" applyBorder="1" applyAlignment="1">
      <alignment horizontal="right" vertical="center"/>
    </xf>
    <xf numFmtId="0" fontId="0" fillId="17" borderId="42" xfId="0" applyFont="1" applyFill="1" applyBorder="1" applyAlignment="1">
      <alignment/>
    </xf>
    <xf numFmtId="0" fontId="0" fillId="17" borderId="83" xfId="0" applyFont="1" applyFill="1" applyBorder="1" applyAlignment="1">
      <alignment/>
    </xf>
    <xf numFmtId="0" fontId="0" fillId="17" borderId="118" xfId="0" applyFont="1" applyFill="1" applyBorder="1" applyAlignment="1">
      <alignment horizontal="center"/>
    </xf>
    <xf numFmtId="49" fontId="0" fillId="17" borderId="109" xfId="0" applyNumberFormat="1" applyFont="1" applyFill="1" applyBorder="1" applyAlignment="1">
      <alignment horizontal="center" vertical="center"/>
    </xf>
    <xf numFmtId="49" fontId="11" fillId="17" borderId="109" xfId="0" applyNumberFormat="1" applyFont="1" applyFill="1" applyBorder="1" applyAlignment="1">
      <alignment horizontal="center" vertical="center"/>
    </xf>
    <xf numFmtId="0" fontId="27" fillId="21" borderId="118" xfId="0" applyFont="1" applyFill="1" applyBorder="1" applyAlignment="1">
      <alignment horizontal="center" vertical="center"/>
    </xf>
    <xf numFmtId="0" fontId="27" fillId="13" borderId="118" xfId="0" applyFont="1" applyFill="1" applyBorder="1" applyAlignment="1">
      <alignment horizontal="center" vertical="center"/>
    </xf>
    <xf numFmtId="0" fontId="2" fillId="17" borderId="131" xfId="0" applyFont="1" applyFill="1" applyBorder="1" applyAlignment="1">
      <alignment horizontal="center" vertical="center"/>
    </xf>
    <xf numFmtId="0" fontId="2" fillId="17" borderId="132" xfId="0" applyFont="1" applyFill="1" applyBorder="1" applyAlignment="1">
      <alignment horizontal="center" vertical="center"/>
    </xf>
    <xf numFmtId="49" fontId="18" fillId="21" borderId="133" xfId="0" applyNumberFormat="1" applyFont="1" applyFill="1" applyBorder="1" applyAlignment="1">
      <alignment horizontal="center" vertical="center"/>
    </xf>
    <xf numFmtId="0" fontId="18" fillId="13" borderId="134" xfId="0" applyFont="1" applyFill="1" applyBorder="1" applyAlignment="1">
      <alignment horizontal="center" vertical="center"/>
    </xf>
    <xf numFmtId="0" fontId="0" fillId="17" borderId="81" xfId="0" applyFont="1" applyFill="1" applyBorder="1" applyAlignment="1">
      <alignment/>
    </xf>
    <xf numFmtId="0" fontId="0" fillId="17" borderId="130" xfId="0" applyFont="1" applyFill="1" applyBorder="1" applyAlignment="1">
      <alignment/>
    </xf>
    <xf numFmtId="0" fontId="0" fillId="17" borderId="80" xfId="0" applyFont="1" applyFill="1" applyBorder="1" applyAlignment="1">
      <alignment/>
    </xf>
    <xf numFmtId="0" fontId="42" fillId="17" borderId="64" xfId="0" applyFont="1" applyFill="1" applyBorder="1" applyAlignment="1">
      <alignment horizontal="center" vertical="center"/>
    </xf>
    <xf numFmtId="0" fontId="0" fillId="13" borderId="109" xfId="0" applyFont="1" applyFill="1" applyBorder="1" applyAlignment="1">
      <alignment horizontal="center"/>
    </xf>
    <xf numFmtId="0" fontId="0" fillId="17" borderId="0" xfId="0" applyFont="1" applyFill="1" applyBorder="1" applyAlignment="1">
      <alignment/>
    </xf>
    <xf numFmtId="49" fontId="18" fillId="21" borderId="118" xfId="0" applyNumberFormat="1" applyFont="1" applyFill="1" applyBorder="1" applyAlignment="1">
      <alignment horizontal="right" vertical="center"/>
    </xf>
    <xf numFmtId="0" fontId="0" fillId="17" borderId="118" xfId="0" applyFont="1" applyFill="1" applyBorder="1" applyAlignment="1">
      <alignment/>
    </xf>
    <xf numFmtId="0" fontId="0" fillId="17" borderId="68" xfId="0" applyFont="1" applyFill="1" applyBorder="1" applyAlignment="1">
      <alignment/>
    </xf>
    <xf numFmtId="0" fontId="0" fillId="17" borderId="128" xfId="0" applyFont="1" applyFill="1" applyBorder="1" applyAlignment="1">
      <alignment/>
    </xf>
    <xf numFmtId="0" fontId="0" fillId="17" borderId="123" xfId="0" applyFont="1" applyFill="1" applyBorder="1" applyAlignment="1">
      <alignment horizontal="center"/>
    </xf>
    <xf numFmtId="0" fontId="0" fillId="17" borderId="116" xfId="0" applyFont="1" applyFill="1" applyBorder="1" applyAlignment="1">
      <alignment horizontal="center"/>
    </xf>
    <xf numFmtId="0" fontId="0" fillId="17" borderId="117" xfId="0" applyFont="1" applyFill="1" applyBorder="1" applyAlignment="1">
      <alignment horizontal="center"/>
    </xf>
    <xf numFmtId="0" fontId="0" fillId="17" borderId="41" xfId="0" applyFont="1" applyFill="1" applyBorder="1" applyAlignment="1">
      <alignment horizontal="center" vertical="center"/>
    </xf>
    <xf numFmtId="0" fontId="0" fillId="17" borderId="41" xfId="0" applyFont="1" applyFill="1" applyBorder="1" applyAlignment="1">
      <alignment/>
    </xf>
    <xf numFmtId="49" fontId="0" fillId="17" borderId="42" xfId="0" applyNumberFormat="1" applyFont="1" applyFill="1" applyBorder="1" applyAlignment="1">
      <alignment horizontal="center" vertical="center"/>
    </xf>
    <xf numFmtId="0" fontId="0" fillId="17" borderId="43" xfId="0" applyFont="1" applyFill="1" applyBorder="1" applyAlignment="1">
      <alignment/>
    </xf>
    <xf numFmtId="49" fontId="0" fillId="17" borderId="41" xfId="0" applyNumberFormat="1" applyFont="1" applyFill="1" applyBorder="1" applyAlignment="1">
      <alignment horizontal="center" vertical="center"/>
    </xf>
    <xf numFmtId="49" fontId="0" fillId="21" borderId="118" xfId="0" applyNumberFormat="1" applyFont="1" applyFill="1" applyBorder="1" applyAlignment="1">
      <alignment horizontal="center"/>
    </xf>
    <xf numFmtId="0" fontId="0" fillId="13" borderId="119" xfId="0" applyFont="1" applyFill="1" applyBorder="1" applyAlignment="1">
      <alignment horizontal="center"/>
    </xf>
    <xf numFmtId="0" fontId="0" fillId="17" borderId="135" xfId="0" applyFont="1" applyFill="1" applyBorder="1" applyAlignment="1">
      <alignment horizontal="center"/>
    </xf>
    <xf numFmtId="0" fontId="0" fillId="17" borderId="136" xfId="0" applyFont="1" applyFill="1" applyBorder="1" applyAlignment="1">
      <alignment horizontal="center"/>
    </xf>
    <xf numFmtId="0" fontId="0" fillId="17" borderId="137" xfId="0" applyFont="1" applyFill="1" applyBorder="1" applyAlignment="1">
      <alignment horizontal="center"/>
    </xf>
    <xf numFmtId="0" fontId="0" fillId="17" borderId="138" xfId="0" applyFont="1" applyFill="1" applyBorder="1" applyAlignment="1">
      <alignment horizontal="center"/>
    </xf>
    <xf numFmtId="0" fontId="0" fillId="21" borderId="139" xfId="0" applyFont="1" applyFill="1" applyBorder="1" applyAlignment="1">
      <alignment horizontal="center" vertical="center"/>
    </xf>
    <xf numFmtId="0" fontId="0" fillId="13" borderId="140" xfId="0" applyFont="1" applyFill="1" applyBorder="1" applyAlignment="1">
      <alignment horizontal="center" vertical="center"/>
    </xf>
    <xf numFmtId="0" fontId="0" fillId="13" borderId="141" xfId="0" applyFont="1" applyFill="1" applyBorder="1" applyAlignment="1">
      <alignment horizontal="center" vertical="center"/>
    </xf>
    <xf numFmtId="49" fontId="0" fillId="17" borderId="109" xfId="0" applyNumberFormat="1" applyFont="1" applyFill="1" applyBorder="1" applyAlignment="1">
      <alignment horizontal="center"/>
    </xf>
    <xf numFmtId="0" fontId="27" fillId="17" borderId="17" xfId="0" applyFont="1" applyFill="1" applyBorder="1" applyAlignment="1">
      <alignment horizontal="center" vertical="center"/>
    </xf>
    <xf numFmtId="0" fontId="27" fillId="17" borderId="42" xfId="0" applyFont="1" applyFill="1" applyBorder="1" applyAlignment="1">
      <alignment horizontal="center" vertical="center"/>
    </xf>
    <xf numFmtId="49" fontId="5" fillId="21" borderId="81" xfId="0" applyNumberFormat="1" applyFont="1" applyFill="1" applyBorder="1" applyAlignment="1">
      <alignment horizontal="center" vertical="center"/>
    </xf>
    <xf numFmtId="49" fontId="27" fillId="21" borderId="17" xfId="0" applyNumberFormat="1" applyFont="1" applyFill="1" applyBorder="1" applyAlignment="1">
      <alignment horizontal="center" vertical="center"/>
    </xf>
    <xf numFmtId="0" fontId="27" fillId="13" borderId="17" xfId="0" applyFont="1" applyFill="1" applyBorder="1" applyAlignment="1">
      <alignment horizontal="center" vertical="center"/>
    </xf>
    <xf numFmtId="0" fontId="27" fillId="17" borderId="142" xfId="0" applyFont="1" applyFill="1" applyBorder="1" applyAlignment="1">
      <alignment horizontal="center" vertical="center"/>
    </xf>
    <xf numFmtId="0" fontId="27" fillId="17" borderId="143" xfId="0" applyFont="1" applyFill="1" applyBorder="1" applyAlignment="1">
      <alignment horizontal="center" vertical="center"/>
    </xf>
    <xf numFmtId="0" fontId="18" fillId="13" borderId="129" xfId="0" applyFont="1" applyFill="1" applyBorder="1" applyAlignment="1">
      <alignment horizontal="center" vertical="center"/>
    </xf>
    <xf numFmtId="0" fontId="27" fillId="13" borderId="109" xfId="0" applyFont="1" applyFill="1" applyBorder="1" applyAlignment="1">
      <alignment horizontal="center" vertical="center"/>
    </xf>
    <xf numFmtId="49" fontId="27" fillId="21" borderId="42" xfId="0" applyNumberFormat="1" applyFont="1" applyFill="1" applyBorder="1" applyAlignment="1">
      <alignment horizontal="center" vertical="center"/>
    </xf>
    <xf numFmtId="0" fontId="27" fillId="13" borderId="83" xfId="0" applyFont="1" applyFill="1" applyBorder="1" applyAlignment="1">
      <alignment horizontal="center" vertical="center"/>
    </xf>
    <xf numFmtId="0" fontId="27" fillId="17" borderId="123" xfId="0" applyFont="1" applyFill="1" applyBorder="1" applyAlignment="1">
      <alignment horizontal="center" vertical="center"/>
    </xf>
    <xf numFmtId="0" fontId="27" fillId="17" borderId="135" xfId="0" applyFont="1" applyFill="1" applyBorder="1" applyAlignment="1">
      <alignment horizontal="center" vertical="center"/>
    </xf>
    <xf numFmtId="0" fontId="27" fillId="17" borderId="138" xfId="0" applyFont="1" applyFill="1" applyBorder="1" applyAlignment="1">
      <alignment horizontal="center" vertical="center"/>
    </xf>
    <xf numFmtId="0" fontId="27" fillId="17" borderId="117" xfId="0" applyFont="1" applyFill="1" applyBorder="1" applyAlignment="1">
      <alignment horizontal="center" vertical="center"/>
    </xf>
    <xf numFmtId="0" fontId="27" fillId="17" borderId="118" xfId="0" applyFont="1" applyFill="1" applyBorder="1" applyAlignment="1">
      <alignment horizontal="center" vertical="center"/>
    </xf>
    <xf numFmtId="49" fontId="18" fillId="21" borderId="69" xfId="0" applyNumberFormat="1" applyFont="1" applyFill="1" applyBorder="1" applyAlignment="1">
      <alignment horizontal="right" vertical="center"/>
    </xf>
    <xf numFmtId="0" fontId="0" fillId="17" borderId="69" xfId="0" applyFont="1" applyFill="1" applyBorder="1" applyAlignment="1">
      <alignment/>
    </xf>
    <xf numFmtId="0" fontId="2" fillId="17" borderId="17" xfId="0" applyFont="1" applyFill="1" applyBorder="1" applyAlignment="1">
      <alignment horizontal="center" vertical="center"/>
    </xf>
    <xf numFmtId="0" fontId="2" fillId="17" borderId="42" xfId="0" applyFont="1" applyFill="1" applyBorder="1" applyAlignment="1">
      <alignment horizontal="center" vertical="center"/>
    </xf>
    <xf numFmtId="0" fontId="27" fillId="17" borderId="116" xfId="0" applyFont="1" applyFill="1" applyBorder="1" applyAlignment="1">
      <alignment horizontal="center" vertical="center"/>
    </xf>
    <xf numFmtId="49" fontId="27" fillId="17" borderId="66" xfId="0" applyNumberFormat="1" applyFont="1" applyFill="1" applyBorder="1" applyAlignment="1">
      <alignment horizontal="center" vertical="center"/>
    </xf>
    <xf numFmtId="49" fontId="41" fillId="17" borderId="66" xfId="0" applyNumberFormat="1" applyFont="1" applyFill="1" applyBorder="1" applyAlignment="1">
      <alignment horizontal="center" vertical="center"/>
    </xf>
    <xf numFmtId="0" fontId="41" fillId="17" borderId="17" xfId="0" applyFont="1" applyFill="1" applyBorder="1" applyAlignment="1">
      <alignment horizontal="center"/>
    </xf>
    <xf numFmtId="49" fontId="27" fillId="21" borderId="118" xfId="0" applyNumberFormat="1" applyFont="1" applyFill="1" applyBorder="1" applyAlignment="1">
      <alignment horizontal="center" vertical="center"/>
    </xf>
    <xf numFmtId="0" fontId="27" fillId="13" borderId="119" xfId="0" applyFont="1" applyFill="1" applyBorder="1" applyAlignment="1">
      <alignment horizontal="center" vertical="center"/>
    </xf>
    <xf numFmtId="49" fontId="39" fillId="17" borderId="41" xfId="0" applyNumberFormat="1" applyFont="1" applyFill="1" applyBorder="1" applyAlignment="1">
      <alignment horizontal="right" vertical="center"/>
    </xf>
    <xf numFmtId="0" fontId="39" fillId="17" borderId="41" xfId="0" applyFont="1" applyFill="1" applyBorder="1" applyAlignment="1">
      <alignment horizontal="right" vertical="center"/>
    </xf>
    <xf numFmtId="49" fontId="11" fillId="17" borderId="66" xfId="0" applyNumberFormat="1" applyFont="1" applyFill="1" applyBorder="1" applyAlignment="1">
      <alignment horizontal="center" vertical="center"/>
    </xf>
    <xf numFmtId="0" fontId="11" fillId="17" borderId="17" xfId="0" applyFont="1" applyFill="1" applyBorder="1" applyAlignment="1">
      <alignment horizontal="center" vertical="center"/>
    </xf>
    <xf numFmtId="0" fontId="27" fillId="17" borderId="76" xfId="0" applyFont="1" applyFill="1" applyBorder="1" applyAlignment="1">
      <alignment horizontal="center" vertical="center"/>
    </xf>
    <xf numFmtId="0" fontId="27" fillId="17" borderId="47" xfId="0" applyFont="1" applyFill="1" applyBorder="1" applyAlignment="1">
      <alignment horizontal="center" vertical="center"/>
    </xf>
    <xf numFmtId="49" fontId="39" fillId="17" borderId="17" xfId="0" applyNumberFormat="1" applyFont="1" applyFill="1" applyBorder="1" applyAlignment="1">
      <alignment horizontal="center" vertical="center"/>
    </xf>
    <xf numFmtId="0" fontId="39" fillId="17" borderId="42" xfId="0" applyFont="1" applyFill="1" applyBorder="1" applyAlignment="1">
      <alignment horizontal="center" vertical="center"/>
    </xf>
    <xf numFmtId="0" fontId="0" fillId="17" borderId="116" xfId="0" applyFont="1" applyFill="1" applyBorder="1" applyAlignment="1">
      <alignment horizontal="center" vertical="center"/>
    </xf>
    <xf numFmtId="0" fontId="0" fillId="17" borderId="117" xfId="0" applyFont="1" applyFill="1" applyBorder="1" applyAlignment="1">
      <alignment horizontal="center" vertical="center"/>
    </xf>
    <xf numFmtId="49" fontId="0" fillId="21" borderId="118" xfId="0" applyNumberFormat="1" applyFont="1" applyFill="1" applyBorder="1" applyAlignment="1">
      <alignment horizontal="center" vertical="center"/>
    </xf>
    <xf numFmtId="0" fontId="0" fillId="13" borderId="119" xfId="0" applyFont="1" applyFill="1" applyBorder="1" applyAlignment="1">
      <alignment horizontal="center" vertical="center"/>
    </xf>
    <xf numFmtId="0" fontId="0" fillId="21" borderId="118" xfId="0" applyFont="1" applyFill="1" applyBorder="1" applyAlignment="1">
      <alignment horizontal="center" vertical="center"/>
    </xf>
    <xf numFmtId="0" fontId="0" fillId="13" borderId="118" xfId="0" applyFont="1" applyFill="1" applyBorder="1" applyAlignment="1">
      <alignment horizontal="center" vertical="center"/>
    </xf>
    <xf numFmtId="0" fontId="0" fillId="13" borderId="68" xfId="0" applyFont="1" applyFill="1" applyBorder="1" applyAlignment="1">
      <alignment horizontal="center" vertical="center"/>
    </xf>
    <xf numFmtId="0" fontId="0" fillId="13" borderId="144" xfId="0" applyFont="1" applyFill="1" applyBorder="1" applyAlignment="1">
      <alignment horizontal="center" vertical="center"/>
    </xf>
    <xf numFmtId="0" fontId="0" fillId="17" borderId="118" xfId="0" applyFont="1" applyFill="1" applyBorder="1" applyAlignment="1">
      <alignment horizontal="center" vertical="center"/>
    </xf>
    <xf numFmtId="0" fontId="0" fillId="17" borderId="123" xfId="0" applyFont="1" applyFill="1" applyBorder="1" applyAlignment="1">
      <alignment horizontal="center" vertical="center"/>
    </xf>
    <xf numFmtId="0" fontId="39" fillId="17" borderId="17" xfId="0" applyFont="1" applyFill="1" applyBorder="1" applyAlignment="1">
      <alignment horizontal="center" vertical="center"/>
    </xf>
    <xf numFmtId="0" fontId="0" fillId="13" borderId="17" xfId="0" applyFont="1" applyFill="1" applyBorder="1" applyAlignment="1">
      <alignment horizontal="center" vertical="center"/>
    </xf>
    <xf numFmtId="0" fontId="0" fillId="17" borderId="109" xfId="0" applyFont="1" applyFill="1" applyBorder="1" applyAlignment="1">
      <alignment horizontal="center" vertical="center"/>
    </xf>
    <xf numFmtId="49" fontId="0" fillId="22" borderId="17" xfId="0" applyNumberForma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rmal 2" xfId="54"/>
    <cellStyle name="Normal 3" xfId="55"/>
    <cellStyle name="Note" xfId="56"/>
    <cellStyle name="Output" xfId="57"/>
    <cellStyle name="Currency" xfId="58"/>
    <cellStyle name="Currency [0]" xfId="59"/>
    <cellStyle name="Percent" xfId="60"/>
    <cellStyle name="Title" xfId="61"/>
    <cellStyle name="Total" xfId="62"/>
    <cellStyle name="Warning Text" xfId="63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fgColor indexed="32"/>
          <bgColor indexed="33"/>
        </patternFill>
      </fill>
    </dxf>
    <dxf>
      <fill>
        <patternFill patternType="solid">
          <fgColor indexed="32"/>
          <bgColor indexed="33"/>
        </patternFill>
      </fill>
    </dxf>
    <dxf>
      <fill>
        <patternFill patternType="solid">
          <fgColor indexed="32"/>
          <bgColor indexed="33"/>
        </patternFill>
      </fill>
    </dxf>
    <dxf>
      <fill>
        <patternFill patternType="solid">
          <fgColor indexed="32"/>
          <bgColor indexed="33"/>
        </patternFill>
      </fill>
    </dxf>
    <dxf>
      <fill>
        <patternFill patternType="solid">
          <fgColor indexed="32"/>
          <bgColor indexed="33"/>
        </patternFill>
      </fill>
    </dxf>
    <dxf>
      <fill>
        <patternFill patternType="solid">
          <fgColor indexed="32"/>
          <bgColor indexed="33"/>
        </patternFill>
      </fill>
    </dxf>
    <dxf>
      <fill>
        <patternFill patternType="solid">
          <fgColor indexed="32"/>
          <bgColor indexed="33"/>
        </patternFill>
      </fill>
    </dxf>
    <dxf>
      <fill>
        <patternFill patternType="solid">
          <fgColor indexed="32"/>
          <bgColor indexed="33"/>
        </patternFill>
      </fill>
    </dxf>
    <dxf>
      <fill>
        <patternFill patternType="solid">
          <fgColor indexed="32"/>
          <bgColor indexed="33"/>
        </patternFill>
      </fill>
    </dxf>
  </dxfs>
  <tableStyles count="0" defaultTableStyle="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FFFFFF"/>
      <rgbColor rgb="00AAAAAA"/>
      <rgbColor rgb="0073FDFF"/>
      <rgbColor rgb="00AECF00"/>
      <rgbColor rgb="00FF0000"/>
      <rgbColor rgb="00FFFF00"/>
      <rgbColor rgb="00DCDCDC"/>
      <rgbColor rgb="00FFFFCC"/>
      <rgbColor rgb="00FEFDCF"/>
      <rgbColor rgb="00FFFED0"/>
      <rgbColor rgb="00C0C0C0"/>
      <rgbColor rgb="00FF2600"/>
      <rgbColor rgb="00FEFDD2"/>
      <rgbColor rgb="00BDC0BF"/>
      <rgbColor rgb="00B3B300"/>
      <rgbColor rgb="00D9E2FF"/>
      <rgbColor rgb="00CCFFFF"/>
      <rgbColor rgb="00D5E2FF"/>
      <rgbColor rgb="00CCCCCC"/>
      <rgbColor rgb="00E3EBFF"/>
      <rgbColor rgb="00000000"/>
      <rgbColor rgb="00FF9966"/>
      <rgbColor rgb="00FFD320"/>
      <rgbColor rgb="00DBDBDB"/>
      <rgbColor rgb="00DBDBDB"/>
      <rgbColor rgb="003DEB3D"/>
      <rgbColor rgb="00BDC0BF"/>
      <rgbColor rgb="00E6E64C"/>
      <rgbColor rgb="0000FFFF"/>
      <rgbColor rgb="00D8E1FF"/>
      <rgbColor rgb="00D5DDFF"/>
      <rgbColor rgb="00A5A5A5"/>
      <rgbColor rgb="00A7A7A7"/>
      <rgbColor rgb="00D8D8D8"/>
      <rgbColor rgb="00E6E6E6"/>
      <rgbColor rgb="00F2F2F2"/>
      <rgbColor rgb="00008000"/>
      <rgbColor rgb="00515151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D40"/>
  <sheetViews>
    <sheetView showGridLines="0" workbookViewId="0" topLeftCell="A1">
      <selection activeCell="A1" sqref="A1"/>
    </sheetView>
  </sheetViews>
  <sheetFormatPr defaultColWidth="10.00390625" defaultRowHeight="12.75" customHeight="1"/>
  <cols>
    <col min="1" max="1" width="2.00390625" style="0" customWidth="1"/>
    <col min="2" max="4" width="33.7109375" style="0" customWidth="1"/>
  </cols>
  <sheetData>
    <row r="3" spans="2:4" ht="49.5" customHeight="1">
      <c r="B3" s="736" t="s">
        <v>0</v>
      </c>
      <c r="C3" s="737"/>
      <c r="D3" s="737"/>
    </row>
    <row r="7" spans="2:4" ht="18">
      <c r="B7" s="1" t="s">
        <v>1</v>
      </c>
      <c r="C7" s="1" t="s">
        <v>2</v>
      </c>
      <c r="D7" s="1" t="s">
        <v>3</v>
      </c>
    </row>
    <row r="9" spans="2:4" ht="15">
      <c r="B9" s="2" t="s">
        <v>4</v>
      </c>
      <c r="C9" s="2"/>
      <c r="D9" s="2"/>
    </row>
    <row r="10" spans="2:4" ht="15">
      <c r="B10" s="3"/>
      <c r="C10" s="3" t="s">
        <v>5</v>
      </c>
      <c r="D10" s="4" t="s">
        <v>4</v>
      </c>
    </row>
    <row r="11" spans="2:4" ht="15">
      <c r="B11" s="2" t="s">
        <v>50</v>
      </c>
      <c r="C11" s="2"/>
      <c r="D11" s="2"/>
    </row>
    <row r="12" spans="2:4" ht="15">
      <c r="B12" s="3"/>
      <c r="C12" s="3" t="s">
        <v>5</v>
      </c>
      <c r="D12" s="4" t="s">
        <v>50</v>
      </c>
    </row>
    <row r="13" spans="2:4" ht="15">
      <c r="B13" s="2" t="s">
        <v>136</v>
      </c>
      <c r="C13" s="2"/>
      <c r="D13" s="2"/>
    </row>
    <row r="14" spans="2:4" ht="15">
      <c r="B14" s="3"/>
      <c r="C14" s="3" t="s">
        <v>5</v>
      </c>
      <c r="D14" s="4" t="s">
        <v>136</v>
      </c>
    </row>
    <row r="15" spans="2:4" ht="15">
      <c r="B15" s="2" t="s">
        <v>22</v>
      </c>
      <c r="C15" s="2"/>
      <c r="D15" s="2"/>
    </row>
    <row r="16" spans="2:4" ht="15">
      <c r="B16" s="3"/>
      <c r="C16" s="3" t="s">
        <v>5</v>
      </c>
      <c r="D16" s="4" t="s">
        <v>22</v>
      </c>
    </row>
    <row r="17" spans="2:4" ht="15">
      <c r="B17" s="2" t="s">
        <v>184</v>
      </c>
      <c r="C17" s="2"/>
      <c r="D17" s="2"/>
    </row>
    <row r="18" spans="2:4" ht="15">
      <c r="B18" s="3"/>
      <c r="C18" s="3" t="s">
        <v>5</v>
      </c>
      <c r="D18" s="4" t="s">
        <v>184</v>
      </c>
    </row>
    <row r="19" spans="2:4" ht="15">
      <c r="B19" s="2" t="s">
        <v>216</v>
      </c>
      <c r="C19" s="2"/>
      <c r="D19" s="2"/>
    </row>
    <row r="20" spans="2:4" ht="15">
      <c r="B20" s="3"/>
      <c r="C20" s="3" t="s">
        <v>5</v>
      </c>
      <c r="D20" s="4" t="s">
        <v>216</v>
      </c>
    </row>
    <row r="21" spans="2:4" ht="15">
      <c r="B21" s="2" t="s">
        <v>217</v>
      </c>
      <c r="C21" s="2"/>
      <c r="D21" s="2"/>
    </row>
    <row r="22" spans="2:4" ht="15">
      <c r="B22" s="3"/>
      <c r="C22" s="3" t="s">
        <v>5</v>
      </c>
      <c r="D22" s="4" t="s">
        <v>217</v>
      </c>
    </row>
    <row r="23" spans="2:4" ht="15">
      <c r="B23" s="2" t="s">
        <v>277</v>
      </c>
      <c r="C23" s="2"/>
      <c r="D23" s="2"/>
    </row>
    <row r="24" spans="2:4" ht="15">
      <c r="B24" s="3"/>
      <c r="C24" s="3" t="s">
        <v>5</v>
      </c>
      <c r="D24" s="4" t="s">
        <v>277</v>
      </c>
    </row>
    <row r="25" spans="2:4" ht="15">
      <c r="B25" s="2" t="s">
        <v>295</v>
      </c>
      <c r="C25" s="2"/>
      <c r="D25" s="2"/>
    </row>
    <row r="26" spans="2:4" ht="15">
      <c r="B26" s="3"/>
      <c r="C26" s="3" t="s">
        <v>5</v>
      </c>
      <c r="D26" s="4" t="s">
        <v>295</v>
      </c>
    </row>
    <row r="27" spans="2:4" ht="15">
      <c r="B27" s="2" t="s">
        <v>319</v>
      </c>
      <c r="C27" s="2"/>
      <c r="D27" s="2"/>
    </row>
    <row r="28" spans="2:4" ht="15">
      <c r="B28" s="3"/>
      <c r="C28" s="3" t="s">
        <v>5</v>
      </c>
      <c r="D28" s="4" t="s">
        <v>319</v>
      </c>
    </row>
    <row r="29" spans="2:4" ht="15">
      <c r="B29" s="2" t="s">
        <v>333</v>
      </c>
      <c r="C29" s="2"/>
      <c r="D29" s="2"/>
    </row>
    <row r="30" spans="2:4" ht="15">
      <c r="B30" s="3"/>
      <c r="C30" s="3" t="s">
        <v>5</v>
      </c>
      <c r="D30" s="4" t="s">
        <v>333</v>
      </c>
    </row>
    <row r="31" spans="2:4" ht="15">
      <c r="B31" s="2" t="s">
        <v>142</v>
      </c>
      <c r="C31" s="2"/>
      <c r="D31" s="2"/>
    </row>
    <row r="32" spans="2:4" ht="15">
      <c r="B32" s="3"/>
      <c r="C32" s="3" t="s">
        <v>5</v>
      </c>
      <c r="D32" s="4" t="s">
        <v>142</v>
      </c>
    </row>
    <row r="33" spans="2:4" ht="15">
      <c r="B33" s="2" t="s">
        <v>144</v>
      </c>
      <c r="C33" s="2"/>
      <c r="D33" s="2"/>
    </row>
    <row r="34" spans="2:4" ht="15">
      <c r="B34" s="3"/>
      <c r="C34" s="3" t="s">
        <v>5</v>
      </c>
      <c r="D34" s="4" t="s">
        <v>144</v>
      </c>
    </row>
    <row r="35" spans="2:4" ht="15">
      <c r="B35" s="2" t="s">
        <v>493</v>
      </c>
      <c r="C35" s="2"/>
      <c r="D35" s="2"/>
    </row>
    <row r="36" spans="2:4" ht="15">
      <c r="B36" s="3"/>
      <c r="C36" s="3" t="s">
        <v>5</v>
      </c>
      <c r="D36" s="4" t="s">
        <v>493</v>
      </c>
    </row>
    <row r="37" spans="2:4" ht="15">
      <c r="B37" s="2" t="s">
        <v>527</v>
      </c>
      <c r="C37" s="2"/>
      <c r="D37" s="2"/>
    </row>
    <row r="38" spans="2:4" ht="15">
      <c r="B38" s="3"/>
      <c r="C38" s="3" t="s">
        <v>5</v>
      </c>
      <c r="D38" s="4" t="s">
        <v>527</v>
      </c>
    </row>
    <row r="39" spans="2:4" ht="15">
      <c r="B39" s="2" t="s">
        <v>147</v>
      </c>
      <c r="C39" s="2"/>
      <c r="D39" s="2"/>
    </row>
    <row r="40" spans="2:4" ht="15">
      <c r="B40" s="3"/>
      <c r="C40" s="3" t="s">
        <v>5</v>
      </c>
      <c r="D40" s="4" t="s">
        <v>147</v>
      </c>
    </row>
  </sheetData>
  <sheetProtection/>
  <mergeCells count="1">
    <mergeCell ref="B3:D3"/>
  </mergeCells>
  <hyperlinks>
    <hyperlink ref="D10" location="'Leírás'!R1C1" display="Leírás"/>
    <hyperlink ref="D12" location="'Nevezés'!R1C1" display="Nevezés"/>
    <hyperlink ref="D14" location="'Eredmény'!R1C1" display="Eredmény"/>
    <hyperlink ref="D16" location="'Kimutatások'!R1C1" display="Kimutatások"/>
    <hyperlink ref="D18" location="'Helyezések'!R1C1" display="Helyezések"/>
    <hyperlink ref="D20" location="'Problémák'!R1C1" display="Problémák"/>
    <hyperlink ref="D22" location="'Szt_Dönt'!R1C1" display="Szt_Dönt"/>
    <hyperlink ref="D24" location="'Szt_Szer'!R1C1" display="Szt_Szer"/>
    <hyperlink ref="D26" location="'Szt_Kombi'!R1C1" display="Szt_Kombi"/>
    <hyperlink ref="D28" location="'Szt_Lánck'!R1C1" display="Szt_Lánck"/>
    <hyperlink ref="D30" location="'Szt_Gally'!R1C1" display="Szt_Gally"/>
    <hyperlink ref="D32" location="'Döntés'!R1C1" display="Döntés"/>
    <hyperlink ref="D34" location="'Szerelés'!R1C1" display="Szerelés"/>
    <hyperlink ref="D36" location="'Kombinált'!R1C1" display="Kombinált"/>
    <hyperlink ref="D38" location="'Lánckímélő'!R1C1" display="Lánckímélő"/>
    <hyperlink ref="D40" location="'Gallyazás'!R1C1" display="Gallyazás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I34"/>
  <sheetViews>
    <sheetView showGridLines="0" workbookViewId="0" topLeftCell="A1">
      <selection activeCell="A1" sqref="A1:H2"/>
    </sheetView>
  </sheetViews>
  <sheetFormatPr defaultColWidth="8.8515625" defaultRowHeight="12" customHeight="1"/>
  <cols>
    <col min="1" max="6" width="5.00390625" style="5" customWidth="1"/>
    <col min="7" max="7" width="6.00390625" style="5" customWidth="1"/>
    <col min="8" max="18" width="5.00390625" style="5" customWidth="1"/>
    <col min="19" max="19" width="9.00390625" style="5" customWidth="1"/>
    <col min="20" max="34" width="8.8515625" style="5" hidden="1" customWidth="1"/>
    <col min="35" max="16384" width="8.8515625" style="5" customWidth="1"/>
  </cols>
  <sheetData>
    <row r="1" spans="1:35" ht="15.75" customHeight="1">
      <c r="A1" s="804" t="s">
        <v>296</v>
      </c>
      <c r="B1" s="805"/>
      <c r="C1" s="805"/>
      <c r="D1" s="805"/>
      <c r="E1" s="805"/>
      <c r="F1" s="805"/>
      <c r="G1" s="805"/>
      <c r="H1" s="805"/>
      <c r="I1" s="287"/>
      <c r="J1" s="288"/>
      <c r="K1" s="288"/>
      <c r="L1" s="288"/>
      <c r="M1" s="288"/>
      <c r="N1" s="288"/>
      <c r="O1" s="288"/>
      <c r="P1" s="288"/>
      <c r="Q1" s="289"/>
      <c r="R1" s="290"/>
      <c r="S1" s="10"/>
      <c r="T1" s="7"/>
      <c r="U1" s="291"/>
      <c r="V1" s="292" t="s">
        <v>282</v>
      </c>
      <c r="W1" s="291"/>
      <c r="X1" s="291"/>
      <c r="Y1" s="291"/>
      <c r="Z1" s="7"/>
      <c r="AA1" s="7"/>
      <c r="AB1" s="7"/>
      <c r="AC1" s="292" t="s">
        <v>297</v>
      </c>
      <c r="AD1" s="292"/>
      <c r="AE1" s="7"/>
      <c r="AF1" s="7"/>
      <c r="AG1" s="292" t="s">
        <v>298</v>
      </c>
      <c r="AH1" s="293"/>
      <c r="AI1" s="10"/>
    </row>
    <row r="2" spans="1:35" ht="19.5" customHeight="1">
      <c r="A2" s="806"/>
      <c r="B2" s="807"/>
      <c r="C2" s="807"/>
      <c r="D2" s="807"/>
      <c r="E2" s="807"/>
      <c r="F2" s="807"/>
      <c r="G2" s="807"/>
      <c r="H2" s="807"/>
      <c r="I2" s="809" t="s">
        <v>299</v>
      </c>
      <c r="J2" s="810"/>
      <c r="K2" s="810"/>
      <c r="L2" s="810"/>
      <c r="M2" s="810"/>
      <c r="N2" s="810"/>
      <c r="O2" s="810"/>
      <c r="P2" s="810"/>
      <c r="Q2" s="811"/>
      <c r="R2" s="294"/>
      <c r="S2" s="10"/>
      <c r="T2" s="230"/>
      <c r="U2" s="230"/>
      <c r="V2" s="230"/>
      <c r="W2" s="230"/>
      <c r="X2" s="230"/>
      <c r="Y2" s="10"/>
      <c r="Z2" s="10"/>
      <c r="AA2" s="10"/>
      <c r="AB2" s="230"/>
      <c r="AC2" s="230"/>
      <c r="AD2" s="10"/>
      <c r="AE2" s="10"/>
      <c r="AF2" s="230"/>
      <c r="AG2" s="230"/>
      <c r="AH2" s="295"/>
      <c r="AI2" s="10"/>
    </row>
    <row r="3" spans="1:35" ht="25.5" customHeight="1">
      <c r="A3" s="797" t="s">
        <v>220</v>
      </c>
      <c r="B3" s="798"/>
      <c r="C3" s="798"/>
      <c r="D3" s="798"/>
      <c r="E3" s="798"/>
      <c r="F3" s="798"/>
      <c r="G3" s="798" t="s">
        <v>221</v>
      </c>
      <c r="H3" s="798"/>
      <c r="I3" s="798"/>
      <c r="J3" s="798"/>
      <c r="K3" s="798"/>
      <c r="L3" s="798"/>
      <c r="M3" s="798"/>
      <c r="N3" s="798"/>
      <c r="O3" s="798"/>
      <c r="P3" s="798"/>
      <c r="Q3" s="801"/>
      <c r="R3" s="296"/>
      <c r="S3" s="10"/>
      <c r="T3" s="14">
        <v>14.1</v>
      </c>
      <c r="U3" s="14">
        <f aca="true" t="shared" si="0" ref="U3:X5">T3+0.1</f>
        <v>14.2</v>
      </c>
      <c r="V3" s="14">
        <f t="shared" si="0"/>
        <v>14.299999999999999</v>
      </c>
      <c r="W3" s="14">
        <f t="shared" si="0"/>
        <v>14.399999999999999</v>
      </c>
      <c r="X3" s="14">
        <f t="shared" si="0"/>
        <v>14.499999999999998</v>
      </c>
      <c r="Y3" s="14">
        <v>63</v>
      </c>
      <c r="Z3" s="10"/>
      <c r="AA3" s="10"/>
      <c r="AB3" s="14">
        <v>84.24</v>
      </c>
      <c r="AC3" s="297">
        <v>50</v>
      </c>
      <c r="AD3" s="14">
        <v>0</v>
      </c>
      <c r="AE3" s="10"/>
      <c r="AF3" s="14">
        <v>0.1</v>
      </c>
      <c r="AG3" s="14">
        <v>0.5</v>
      </c>
      <c r="AH3" s="295">
        <v>45</v>
      </c>
      <c r="AI3" s="10"/>
    </row>
    <row r="4" spans="1:35" ht="10.5" customHeight="1">
      <c r="A4" s="826" t="s">
        <v>300</v>
      </c>
      <c r="B4" s="827"/>
      <c r="C4" s="827"/>
      <c r="D4" s="827"/>
      <c r="E4" s="827"/>
      <c r="F4" s="827"/>
      <c r="G4" s="827"/>
      <c r="H4" s="828"/>
      <c r="I4" s="817" t="s">
        <v>222</v>
      </c>
      <c r="J4" s="818"/>
      <c r="K4" s="818"/>
      <c r="L4" s="818"/>
      <c r="M4" s="799" t="s">
        <v>223</v>
      </c>
      <c r="N4" s="769">
        <f>IF(H4="i",N31+3,IF(N31&lt;=0,0,N31))</f>
        <v>0</v>
      </c>
      <c r="O4" s="812"/>
      <c r="P4" s="812"/>
      <c r="Q4" s="813"/>
      <c r="R4" s="296"/>
      <c r="S4" s="10"/>
      <c r="T4" s="14">
        <f>T3+0.5</f>
        <v>14.6</v>
      </c>
      <c r="U4" s="14">
        <f t="shared" si="0"/>
        <v>14.7</v>
      </c>
      <c r="V4" s="14">
        <f t="shared" si="0"/>
        <v>14.799999999999999</v>
      </c>
      <c r="W4" s="14">
        <f t="shared" si="0"/>
        <v>14.899999999999999</v>
      </c>
      <c r="X4" s="245">
        <f t="shared" si="0"/>
        <v>14.999999999999998</v>
      </c>
      <c r="Y4" s="14">
        <f>Y3-1</f>
        <v>62</v>
      </c>
      <c r="Z4" s="299"/>
      <c r="AA4" s="300"/>
      <c r="AB4" s="14">
        <v>84.25</v>
      </c>
      <c r="AC4" s="14">
        <v>84.74</v>
      </c>
      <c r="AD4" s="14">
        <v>3</v>
      </c>
      <c r="AE4" s="299"/>
      <c r="AF4" s="14">
        <v>1.1</v>
      </c>
      <c r="AG4" s="14">
        <v>1.5</v>
      </c>
      <c r="AH4" s="15">
        <v>45</v>
      </c>
      <c r="AI4" s="10"/>
    </row>
    <row r="5" spans="1:35" ht="15" customHeight="1">
      <c r="A5" s="827"/>
      <c r="B5" s="827"/>
      <c r="C5" s="827"/>
      <c r="D5" s="827"/>
      <c r="E5" s="827"/>
      <c r="F5" s="827"/>
      <c r="G5" s="827"/>
      <c r="H5" s="796"/>
      <c r="I5" s="819"/>
      <c r="J5" s="818"/>
      <c r="K5" s="818"/>
      <c r="L5" s="818"/>
      <c r="M5" s="800"/>
      <c r="N5" s="812"/>
      <c r="O5" s="812"/>
      <c r="P5" s="812"/>
      <c r="Q5" s="813"/>
      <c r="R5" s="301"/>
      <c r="S5" s="10"/>
      <c r="T5" s="254">
        <f>T4+0.5</f>
        <v>15.1</v>
      </c>
      <c r="U5" s="254">
        <f t="shared" si="0"/>
        <v>15.2</v>
      </c>
      <c r="V5" s="254">
        <f t="shared" si="0"/>
        <v>15.299999999999999</v>
      </c>
      <c r="W5" s="254">
        <f t="shared" si="0"/>
        <v>15.399999999999999</v>
      </c>
      <c r="X5" s="253">
        <f t="shared" si="0"/>
        <v>15.499999999999998</v>
      </c>
      <c r="Y5" s="254">
        <v>62</v>
      </c>
      <c r="Z5" s="302"/>
      <c r="AA5" s="227"/>
      <c r="AB5" s="303">
        <v>84.75</v>
      </c>
      <c r="AC5" s="303">
        <v>85.24</v>
      </c>
      <c r="AD5" s="299">
        <f>AD4+3</f>
        <v>6</v>
      </c>
      <c r="AE5" s="254"/>
      <c r="AF5" s="254">
        <f>AF4+0.5</f>
        <v>1.6</v>
      </c>
      <c r="AG5" s="253">
        <f>AG4+1</f>
        <v>2.5</v>
      </c>
      <c r="AH5" s="304">
        <v>40</v>
      </c>
      <c r="AI5" s="10"/>
    </row>
    <row r="6" spans="1:35" ht="16.5" customHeight="1">
      <c r="A6" s="820"/>
      <c r="B6" s="821"/>
      <c r="C6" s="821"/>
      <c r="D6" s="821"/>
      <c r="E6" s="821"/>
      <c r="F6" s="821"/>
      <c r="G6" s="821"/>
      <c r="H6" s="821"/>
      <c r="I6" s="821"/>
      <c r="J6" s="821"/>
      <c r="K6" s="821"/>
      <c r="L6" s="821"/>
      <c r="M6" s="822"/>
      <c r="N6" s="685" t="s">
        <v>224</v>
      </c>
      <c r="O6" s="802"/>
      <c r="P6" s="802"/>
      <c r="Q6" s="803"/>
      <c r="R6" s="301"/>
      <c r="S6" s="10"/>
      <c r="T6" s="254"/>
      <c r="U6" s="254"/>
      <c r="V6" s="254"/>
      <c r="W6" s="254"/>
      <c r="X6" s="253"/>
      <c r="Y6" s="254"/>
      <c r="Z6" s="302"/>
      <c r="AA6" s="227"/>
      <c r="AB6" s="303"/>
      <c r="AC6" s="303"/>
      <c r="AD6" s="299"/>
      <c r="AE6" s="254"/>
      <c r="AF6" s="254"/>
      <c r="AG6" s="253"/>
      <c r="AH6" s="254"/>
      <c r="AI6" s="10"/>
    </row>
    <row r="7" spans="1:35" ht="18" customHeight="1">
      <c r="A7" s="190" t="s">
        <v>224</v>
      </c>
      <c r="B7" s="760" t="s">
        <v>225</v>
      </c>
      <c r="C7" s="808"/>
      <c r="D7" s="808"/>
      <c r="E7" s="808"/>
      <c r="F7" s="808"/>
      <c r="G7" s="307" t="s">
        <v>280</v>
      </c>
      <c r="H7" s="308"/>
      <c r="I7" s="760" t="s">
        <v>227</v>
      </c>
      <c r="J7" s="808"/>
      <c r="K7" s="808"/>
      <c r="L7" s="808"/>
      <c r="M7" s="309"/>
      <c r="N7" s="685" t="s">
        <v>143</v>
      </c>
      <c r="O7" s="802"/>
      <c r="P7" s="748" t="s">
        <v>228</v>
      </c>
      <c r="Q7" s="803"/>
      <c r="R7" s="310"/>
      <c r="S7" s="10"/>
      <c r="T7" s="14">
        <f>T5+0.5</f>
        <v>15.6</v>
      </c>
      <c r="U7" s="14">
        <f aca="true" t="shared" si="1" ref="U7:X29">T7+0.1</f>
        <v>15.7</v>
      </c>
      <c r="V7" s="14">
        <f t="shared" si="1"/>
        <v>15.799999999999999</v>
      </c>
      <c r="W7" s="14">
        <f t="shared" si="1"/>
        <v>15.899999999999999</v>
      </c>
      <c r="X7" s="245">
        <f t="shared" si="1"/>
        <v>15.999999999999998</v>
      </c>
      <c r="Y7" s="14">
        <f>Y5-1</f>
        <v>61</v>
      </c>
      <c r="Z7" s="10"/>
      <c r="AA7" s="10"/>
      <c r="AB7" s="14">
        <v>85.25</v>
      </c>
      <c r="AC7" s="14">
        <v>85.74</v>
      </c>
      <c r="AD7" s="299">
        <f>AD5+3</f>
        <v>9</v>
      </c>
      <c r="AE7" s="10"/>
      <c r="AF7" s="14">
        <f>AF5+1</f>
        <v>2.6</v>
      </c>
      <c r="AG7" s="245">
        <f>AG5+1</f>
        <v>3.5</v>
      </c>
      <c r="AH7" s="15">
        <v>36</v>
      </c>
      <c r="AI7" s="10"/>
    </row>
    <row r="8" spans="1:35" ht="18" customHeight="1">
      <c r="A8" s="311" t="s">
        <v>301</v>
      </c>
      <c r="B8" s="794" t="s">
        <v>282</v>
      </c>
      <c r="C8" s="795"/>
      <c r="D8" s="795"/>
      <c r="E8" s="795"/>
      <c r="F8" s="795"/>
      <c r="G8" s="312">
        <v>0</v>
      </c>
      <c r="H8" s="313" t="s">
        <v>283</v>
      </c>
      <c r="I8" s="796"/>
      <c r="J8" s="796"/>
      <c r="K8" s="796"/>
      <c r="L8" s="796"/>
      <c r="M8" s="314"/>
      <c r="N8" s="192"/>
      <c r="O8" s="194"/>
      <c r="P8" s="837">
        <f>IF(I8="","",VLOOKUP(I8,T3:Y34,6))</f>
      </c>
      <c r="Q8" s="838"/>
      <c r="R8" s="316"/>
      <c r="S8" s="10"/>
      <c r="T8" s="14">
        <f aca="true" t="shared" si="2" ref="T8:T29">T7+0.5</f>
        <v>16.1</v>
      </c>
      <c r="U8" s="14">
        <f t="shared" si="1"/>
        <v>16.200000000000003</v>
      </c>
      <c r="V8" s="14">
        <f t="shared" si="1"/>
        <v>16.300000000000004</v>
      </c>
      <c r="W8" s="14">
        <f t="shared" si="1"/>
        <v>16.400000000000006</v>
      </c>
      <c r="X8" s="245">
        <f t="shared" si="1"/>
        <v>16.500000000000007</v>
      </c>
      <c r="Y8" s="14">
        <f>Y5-1</f>
        <v>61</v>
      </c>
      <c r="Z8" s="10"/>
      <c r="AA8" s="10"/>
      <c r="AB8" s="14">
        <v>85.75</v>
      </c>
      <c r="AC8" s="14">
        <v>86.24</v>
      </c>
      <c r="AD8" s="299">
        <f aca="true" t="shared" si="3" ref="AD8:AD14">AD7+3</f>
        <v>12</v>
      </c>
      <c r="AE8" s="10"/>
      <c r="AF8" s="14">
        <f aca="true" t="shared" si="4" ref="AF8:AF18">AF7+1</f>
        <v>3.6</v>
      </c>
      <c r="AG8" s="245">
        <f aca="true" t="shared" si="5" ref="AG8:AG18">AG7+1</f>
        <v>4.5</v>
      </c>
      <c r="AH8" s="15">
        <v>33</v>
      </c>
      <c r="AI8" s="10"/>
    </row>
    <row r="9" spans="1:35" ht="18" customHeight="1">
      <c r="A9" s="187">
        <v>30</v>
      </c>
      <c r="B9" s="794" t="s">
        <v>302</v>
      </c>
      <c r="C9" s="795"/>
      <c r="D9" s="795"/>
      <c r="E9" s="795"/>
      <c r="F9" s="795"/>
      <c r="G9" s="317" t="s">
        <v>303</v>
      </c>
      <c r="H9" s="313" t="s">
        <v>269</v>
      </c>
      <c r="I9" s="823"/>
      <c r="J9" s="824"/>
      <c r="K9" s="824"/>
      <c r="L9" s="825"/>
      <c r="M9" s="314"/>
      <c r="N9" s="192"/>
      <c r="O9" s="194"/>
      <c r="P9" s="837">
        <f>IF(I9="","",VLOOKUP(I9,AB3:AD28,3))</f>
      </c>
      <c r="Q9" s="838"/>
      <c r="R9" s="316"/>
      <c r="S9" s="10"/>
      <c r="T9" s="14">
        <f t="shared" si="2"/>
        <v>16.6</v>
      </c>
      <c r="U9" s="14">
        <f t="shared" si="1"/>
        <v>16.700000000000003</v>
      </c>
      <c r="V9" s="14">
        <f t="shared" si="1"/>
        <v>16.800000000000004</v>
      </c>
      <c r="W9" s="14">
        <f t="shared" si="1"/>
        <v>16.900000000000006</v>
      </c>
      <c r="X9" s="245">
        <f t="shared" si="1"/>
        <v>17.000000000000007</v>
      </c>
      <c r="Y9" s="14">
        <f aca="true" t="shared" si="6" ref="Y9:Y29">Y7-1</f>
        <v>60</v>
      </c>
      <c r="Z9" s="10"/>
      <c r="AA9" s="10"/>
      <c r="AB9" s="14">
        <v>86.25</v>
      </c>
      <c r="AC9" s="14">
        <v>86.74</v>
      </c>
      <c r="AD9" s="299">
        <f t="shared" si="3"/>
        <v>15</v>
      </c>
      <c r="AE9" s="10"/>
      <c r="AF9" s="14">
        <f t="shared" si="4"/>
        <v>4.6</v>
      </c>
      <c r="AG9" s="245">
        <f t="shared" si="5"/>
        <v>5.5</v>
      </c>
      <c r="AH9" s="15">
        <f aca="true" t="shared" si="7" ref="AH9:AH19">AH8-3</f>
        <v>30</v>
      </c>
      <c r="AI9" s="10"/>
    </row>
    <row r="10" spans="1:35" ht="18" customHeight="1">
      <c r="A10" s="187">
        <v>45</v>
      </c>
      <c r="B10" s="794" t="s">
        <v>304</v>
      </c>
      <c r="C10" s="795"/>
      <c r="D10" s="795"/>
      <c r="E10" s="795"/>
      <c r="F10" s="795"/>
      <c r="G10" s="317" t="s">
        <v>303</v>
      </c>
      <c r="H10" s="313" t="s">
        <v>242</v>
      </c>
      <c r="I10" s="796"/>
      <c r="J10" s="796"/>
      <c r="K10" s="796"/>
      <c r="L10" s="796"/>
      <c r="M10" s="314"/>
      <c r="N10" s="192"/>
      <c r="O10" s="194"/>
      <c r="P10" s="837">
        <f>IF(I10="","",VLOOKUP(I10,AF3:AH19,3))</f>
      </c>
      <c r="Q10" s="838"/>
      <c r="R10" s="316"/>
      <c r="S10" s="10"/>
      <c r="T10" s="14">
        <f t="shared" si="2"/>
        <v>17.1</v>
      </c>
      <c r="U10" s="14">
        <f t="shared" si="1"/>
        <v>17.200000000000003</v>
      </c>
      <c r="V10" s="14">
        <f t="shared" si="1"/>
        <v>17.300000000000004</v>
      </c>
      <c r="W10" s="14">
        <f t="shared" si="1"/>
        <v>17.400000000000006</v>
      </c>
      <c r="X10" s="245">
        <f t="shared" si="1"/>
        <v>17.500000000000007</v>
      </c>
      <c r="Y10" s="14">
        <f t="shared" si="6"/>
        <v>60</v>
      </c>
      <c r="Z10" s="10"/>
      <c r="AA10" s="10"/>
      <c r="AB10" s="14">
        <v>86.75</v>
      </c>
      <c r="AC10" s="14">
        <v>87.24</v>
      </c>
      <c r="AD10" s="299">
        <f t="shared" si="3"/>
        <v>18</v>
      </c>
      <c r="AE10" s="10"/>
      <c r="AF10" s="14">
        <f t="shared" si="4"/>
        <v>5.6</v>
      </c>
      <c r="AG10" s="245">
        <f t="shared" si="5"/>
        <v>6.5</v>
      </c>
      <c r="AH10" s="15">
        <f t="shared" si="7"/>
        <v>27</v>
      </c>
      <c r="AI10" s="10"/>
    </row>
    <row r="11" spans="1:35" ht="18" customHeight="1">
      <c r="A11" s="187">
        <v>30</v>
      </c>
      <c r="B11" s="794" t="s">
        <v>305</v>
      </c>
      <c r="C11" s="795"/>
      <c r="D11" s="795"/>
      <c r="E11" s="795"/>
      <c r="F11" s="795"/>
      <c r="G11" s="317" t="s">
        <v>303</v>
      </c>
      <c r="H11" s="313" t="s">
        <v>269</v>
      </c>
      <c r="I11" s="796"/>
      <c r="J11" s="796"/>
      <c r="K11" s="796"/>
      <c r="L11" s="796"/>
      <c r="M11" s="314"/>
      <c r="N11" s="192"/>
      <c r="O11" s="194"/>
      <c r="P11" s="837">
        <f>IF(I11="","",VLOOKUP(I11,AB3:AD28,3))</f>
      </c>
      <c r="Q11" s="838"/>
      <c r="R11" s="316"/>
      <c r="S11" s="10"/>
      <c r="T11" s="14">
        <f t="shared" si="2"/>
        <v>17.6</v>
      </c>
      <c r="U11" s="14">
        <f t="shared" si="1"/>
        <v>17.700000000000003</v>
      </c>
      <c r="V11" s="14">
        <f t="shared" si="1"/>
        <v>17.800000000000004</v>
      </c>
      <c r="W11" s="14">
        <f t="shared" si="1"/>
        <v>17.900000000000006</v>
      </c>
      <c r="X11" s="245">
        <f t="shared" si="1"/>
        <v>18.000000000000007</v>
      </c>
      <c r="Y11" s="14">
        <f t="shared" si="6"/>
        <v>59</v>
      </c>
      <c r="Z11" s="10"/>
      <c r="AA11" s="10"/>
      <c r="AB11" s="14">
        <f aca="true" t="shared" si="8" ref="AB11:AB27">AB10+0.5</f>
        <v>87.25</v>
      </c>
      <c r="AC11" s="14">
        <f aca="true" t="shared" si="9" ref="AC11:AC27">AC10+0.5</f>
        <v>87.74</v>
      </c>
      <c r="AD11" s="299">
        <f t="shared" si="3"/>
        <v>21</v>
      </c>
      <c r="AE11" s="10"/>
      <c r="AF11" s="14">
        <f t="shared" si="4"/>
        <v>6.6</v>
      </c>
      <c r="AG11" s="245">
        <f t="shared" si="5"/>
        <v>7.5</v>
      </c>
      <c r="AH11" s="15">
        <f t="shared" si="7"/>
        <v>24</v>
      </c>
      <c r="AI11" s="10"/>
    </row>
    <row r="12" spans="1:35" ht="18" customHeight="1">
      <c r="A12" s="187">
        <v>45</v>
      </c>
      <c r="B12" s="794" t="s">
        <v>306</v>
      </c>
      <c r="C12" s="795"/>
      <c r="D12" s="795"/>
      <c r="E12" s="795"/>
      <c r="F12" s="795"/>
      <c r="G12" s="317" t="s">
        <v>303</v>
      </c>
      <c r="H12" s="313" t="s">
        <v>242</v>
      </c>
      <c r="I12" s="796"/>
      <c r="J12" s="796"/>
      <c r="K12" s="796"/>
      <c r="L12" s="796"/>
      <c r="M12" s="314"/>
      <c r="N12" s="192"/>
      <c r="O12" s="194"/>
      <c r="P12" s="837">
        <f>IF(I12="","",VLOOKUP(I12,AF3:AH19,3))</f>
      </c>
      <c r="Q12" s="838"/>
      <c r="R12" s="316"/>
      <c r="S12" s="10"/>
      <c r="T12" s="14">
        <f t="shared" si="2"/>
        <v>18.1</v>
      </c>
      <c r="U12" s="14">
        <f t="shared" si="1"/>
        <v>18.200000000000003</v>
      </c>
      <c r="V12" s="14">
        <f t="shared" si="1"/>
        <v>18.300000000000004</v>
      </c>
      <c r="W12" s="14">
        <f t="shared" si="1"/>
        <v>18.400000000000006</v>
      </c>
      <c r="X12" s="245">
        <f t="shared" si="1"/>
        <v>18.500000000000007</v>
      </c>
      <c r="Y12" s="14">
        <f t="shared" si="6"/>
        <v>59</v>
      </c>
      <c r="Z12" s="10"/>
      <c r="AA12" s="10"/>
      <c r="AB12" s="14">
        <f t="shared" si="8"/>
        <v>87.75</v>
      </c>
      <c r="AC12" s="14">
        <f t="shared" si="9"/>
        <v>88.24</v>
      </c>
      <c r="AD12" s="299">
        <f t="shared" si="3"/>
        <v>24</v>
      </c>
      <c r="AE12" s="10"/>
      <c r="AF12" s="14">
        <f t="shared" si="4"/>
        <v>7.6</v>
      </c>
      <c r="AG12" s="245">
        <f t="shared" si="5"/>
        <v>8.5</v>
      </c>
      <c r="AH12" s="15">
        <f t="shared" si="7"/>
        <v>21</v>
      </c>
      <c r="AI12" s="10"/>
    </row>
    <row r="13" spans="1:35" ht="18" customHeight="1">
      <c r="A13" s="187">
        <v>-50</v>
      </c>
      <c r="B13" s="794" t="s">
        <v>307</v>
      </c>
      <c r="C13" s="795"/>
      <c r="D13" s="795"/>
      <c r="E13" s="795"/>
      <c r="F13" s="795"/>
      <c r="G13" s="318">
        <v>0</v>
      </c>
      <c r="H13" s="313" t="s">
        <v>256</v>
      </c>
      <c r="I13" s="796"/>
      <c r="J13" s="796"/>
      <c r="K13" s="796"/>
      <c r="L13" s="796"/>
      <c r="M13" s="314"/>
      <c r="N13" s="319">
        <f>IF(I13="",0,(-50*I13))</f>
        <v>0</v>
      </c>
      <c r="O13" s="315"/>
      <c r="P13" s="192"/>
      <c r="Q13" s="194"/>
      <c r="R13" s="316"/>
      <c r="S13" s="10"/>
      <c r="T13" s="14">
        <f t="shared" si="2"/>
        <v>18.6</v>
      </c>
      <c r="U13" s="14">
        <f t="shared" si="1"/>
        <v>18.700000000000003</v>
      </c>
      <c r="V13" s="14">
        <f t="shared" si="1"/>
        <v>18.800000000000004</v>
      </c>
      <c r="W13" s="14">
        <f t="shared" si="1"/>
        <v>18.900000000000006</v>
      </c>
      <c r="X13" s="245">
        <f t="shared" si="1"/>
        <v>19.000000000000007</v>
      </c>
      <c r="Y13" s="14">
        <f t="shared" si="6"/>
        <v>58</v>
      </c>
      <c r="Z13" s="10"/>
      <c r="AA13" s="10"/>
      <c r="AB13" s="14">
        <f t="shared" si="8"/>
        <v>88.25</v>
      </c>
      <c r="AC13" s="14">
        <f t="shared" si="9"/>
        <v>88.74</v>
      </c>
      <c r="AD13" s="299">
        <f t="shared" si="3"/>
        <v>27</v>
      </c>
      <c r="AE13" s="10"/>
      <c r="AF13" s="14">
        <f t="shared" si="4"/>
        <v>8.6</v>
      </c>
      <c r="AG13" s="245">
        <f t="shared" si="5"/>
        <v>9.5</v>
      </c>
      <c r="AH13" s="15">
        <f t="shared" si="7"/>
        <v>18</v>
      </c>
      <c r="AI13" s="10"/>
    </row>
    <row r="14" spans="1:35" ht="18" customHeight="1">
      <c r="A14" s="187">
        <v>-50</v>
      </c>
      <c r="B14" s="794" t="s">
        <v>308</v>
      </c>
      <c r="C14" s="795"/>
      <c r="D14" s="795"/>
      <c r="E14" s="795"/>
      <c r="F14" s="795"/>
      <c r="G14" s="318">
        <v>0</v>
      </c>
      <c r="H14" s="313" t="s">
        <v>256</v>
      </c>
      <c r="I14" s="796"/>
      <c r="J14" s="796"/>
      <c r="K14" s="796"/>
      <c r="L14" s="796"/>
      <c r="M14" s="314"/>
      <c r="N14" s="319">
        <f>IF(I14="",0,(-50*I14))</f>
        <v>0</v>
      </c>
      <c r="O14" s="315"/>
      <c r="P14" s="192"/>
      <c r="Q14" s="194"/>
      <c r="R14" s="316"/>
      <c r="S14" s="10"/>
      <c r="T14" s="14">
        <f t="shared" si="2"/>
        <v>19.1</v>
      </c>
      <c r="U14" s="14">
        <f t="shared" si="1"/>
        <v>19.200000000000003</v>
      </c>
      <c r="V14" s="14">
        <f t="shared" si="1"/>
        <v>19.300000000000004</v>
      </c>
      <c r="W14" s="14">
        <f t="shared" si="1"/>
        <v>19.400000000000006</v>
      </c>
      <c r="X14" s="245">
        <f t="shared" si="1"/>
        <v>19.500000000000007</v>
      </c>
      <c r="Y14" s="14">
        <f t="shared" si="6"/>
        <v>58</v>
      </c>
      <c r="Z14" s="10"/>
      <c r="AA14" s="10"/>
      <c r="AB14" s="14">
        <f t="shared" si="8"/>
        <v>88.75</v>
      </c>
      <c r="AC14" s="14">
        <f t="shared" si="9"/>
        <v>89.24</v>
      </c>
      <c r="AD14" s="299">
        <f t="shared" si="3"/>
        <v>30</v>
      </c>
      <c r="AE14" s="10"/>
      <c r="AF14" s="14">
        <f t="shared" si="4"/>
        <v>9.6</v>
      </c>
      <c r="AG14" s="245">
        <f t="shared" si="5"/>
        <v>10.5</v>
      </c>
      <c r="AH14" s="15">
        <f t="shared" si="7"/>
        <v>15</v>
      </c>
      <c r="AI14" s="10"/>
    </row>
    <row r="15" spans="1:35" ht="18" customHeight="1">
      <c r="A15" s="187">
        <v>-50</v>
      </c>
      <c r="B15" s="794" t="s">
        <v>309</v>
      </c>
      <c r="C15" s="795"/>
      <c r="D15" s="795"/>
      <c r="E15" s="795"/>
      <c r="F15" s="795"/>
      <c r="G15" s="318">
        <v>0</v>
      </c>
      <c r="H15" s="313" t="s">
        <v>256</v>
      </c>
      <c r="I15" s="796"/>
      <c r="J15" s="796"/>
      <c r="K15" s="796"/>
      <c r="L15" s="796"/>
      <c r="M15" s="314"/>
      <c r="N15" s="319">
        <f>IF(I15="",0,(-50*I15))</f>
        <v>0</v>
      </c>
      <c r="O15" s="315"/>
      <c r="P15" s="192"/>
      <c r="Q15" s="194"/>
      <c r="R15" s="316"/>
      <c r="S15" s="10"/>
      <c r="T15" s="14">
        <f t="shared" si="2"/>
        <v>19.6</v>
      </c>
      <c r="U15" s="14">
        <f t="shared" si="1"/>
        <v>19.700000000000003</v>
      </c>
      <c r="V15" s="14">
        <f t="shared" si="1"/>
        <v>19.800000000000004</v>
      </c>
      <c r="W15" s="14">
        <f t="shared" si="1"/>
        <v>19.900000000000006</v>
      </c>
      <c r="X15" s="245">
        <f t="shared" si="1"/>
        <v>20.000000000000007</v>
      </c>
      <c r="Y15" s="14">
        <f t="shared" si="6"/>
        <v>57</v>
      </c>
      <c r="Z15" s="10"/>
      <c r="AA15" s="10"/>
      <c r="AB15" s="14">
        <f t="shared" si="8"/>
        <v>89.25</v>
      </c>
      <c r="AC15" s="14">
        <f t="shared" si="9"/>
        <v>89.74</v>
      </c>
      <c r="AD15" s="299">
        <v>30</v>
      </c>
      <c r="AE15" s="10"/>
      <c r="AF15" s="14">
        <f t="shared" si="4"/>
        <v>10.6</v>
      </c>
      <c r="AG15" s="245">
        <f t="shared" si="5"/>
        <v>11.5</v>
      </c>
      <c r="AH15" s="15">
        <f t="shared" si="7"/>
        <v>12</v>
      </c>
      <c r="AI15" s="10"/>
    </row>
    <row r="16" spans="1:35" ht="18" customHeight="1">
      <c r="A16" s="187">
        <v>-20</v>
      </c>
      <c r="B16" s="794" t="s">
        <v>310</v>
      </c>
      <c r="C16" s="795"/>
      <c r="D16" s="795"/>
      <c r="E16" s="795"/>
      <c r="F16" s="795"/>
      <c r="G16" s="318">
        <v>0</v>
      </c>
      <c r="H16" s="313" t="s">
        <v>256</v>
      </c>
      <c r="I16" s="796"/>
      <c r="J16" s="796"/>
      <c r="K16" s="796"/>
      <c r="L16" s="796"/>
      <c r="M16" s="314"/>
      <c r="N16" s="319">
        <f>IF(I16="",0,(-20*I16))</f>
        <v>0</v>
      </c>
      <c r="O16" s="315"/>
      <c r="P16" s="192"/>
      <c r="Q16" s="194"/>
      <c r="R16" s="316"/>
      <c r="S16" s="10"/>
      <c r="T16" s="14">
        <f t="shared" si="2"/>
        <v>20.1</v>
      </c>
      <c r="U16" s="14">
        <f t="shared" si="1"/>
        <v>20.200000000000003</v>
      </c>
      <c r="V16" s="14">
        <f t="shared" si="1"/>
        <v>20.300000000000004</v>
      </c>
      <c r="W16" s="14">
        <f t="shared" si="1"/>
        <v>20.400000000000006</v>
      </c>
      <c r="X16" s="245">
        <f t="shared" si="1"/>
        <v>20.500000000000007</v>
      </c>
      <c r="Y16" s="14">
        <f t="shared" si="6"/>
        <v>57</v>
      </c>
      <c r="Z16" s="10"/>
      <c r="AA16" s="10"/>
      <c r="AB16" s="14">
        <f t="shared" si="8"/>
        <v>89.75</v>
      </c>
      <c r="AC16" s="14">
        <f t="shared" si="9"/>
        <v>90.24</v>
      </c>
      <c r="AD16" s="299">
        <v>30</v>
      </c>
      <c r="AE16" s="10"/>
      <c r="AF16" s="14">
        <f t="shared" si="4"/>
        <v>11.6</v>
      </c>
      <c r="AG16" s="245">
        <f t="shared" si="5"/>
        <v>12.5</v>
      </c>
      <c r="AH16" s="15">
        <f t="shared" si="7"/>
        <v>9</v>
      </c>
      <c r="AI16" s="10"/>
    </row>
    <row r="17" spans="1:35" ht="18" customHeight="1">
      <c r="A17" s="311" t="s">
        <v>311</v>
      </c>
      <c r="B17" s="794" t="s">
        <v>312</v>
      </c>
      <c r="C17" s="795"/>
      <c r="D17" s="795"/>
      <c r="E17" s="795"/>
      <c r="F17" s="795"/>
      <c r="G17" s="318">
        <v>0</v>
      </c>
      <c r="H17" s="313" t="s">
        <v>256</v>
      </c>
      <c r="I17" s="796"/>
      <c r="J17" s="796"/>
      <c r="K17" s="796"/>
      <c r="L17" s="796"/>
      <c r="M17" s="314"/>
      <c r="N17" s="665">
        <f>IF(I17="",0,IF(OR(I17=1,I17=2),"az a rönk nullás",0))</f>
        <v>0</v>
      </c>
      <c r="O17" s="315"/>
      <c r="P17" s="192"/>
      <c r="Q17" s="194"/>
      <c r="R17" s="316"/>
      <c r="S17" s="10"/>
      <c r="T17" s="14">
        <f t="shared" si="2"/>
        <v>20.6</v>
      </c>
      <c r="U17" s="14">
        <f t="shared" si="1"/>
        <v>20.700000000000003</v>
      </c>
      <c r="V17" s="14">
        <f t="shared" si="1"/>
        <v>20.800000000000004</v>
      </c>
      <c r="W17" s="14">
        <f t="shared" si="1"/>
        <v>20.900000000000006</v>
      </c>
      <c r="X17" s="245">
        <f t="shared" si="1"/>
        <v>21.000000000000007</v>
      </c>
      <c r="Y17" s="14">
        <f t="shared" si="6"/>
        <v>56</v>
      </c>
      <c r="Z17" s="10"/>
      <c r="AA17" s="10"/>
      <c r="AB17" s="14">
        <f t="shared" si="8"/>
        <v>90.25</v>
      </c>
      <c r="AC17" s="14">
        <f t="shared" si="9"/>
        <v>90.74</v>
      </c>
      <c r="AD17" s="299">
        <v>30</v>
      </c>
      <c r="AE17" s="10"/>
      <c r="AF17" s="14">
        <f t="shared" si="4"/>
        <v>12.6</v>
      </c>
      <c r="AG17" s="245">
        <f t="shared" si="5"/>
        <v>13.5</v>
      </c>
      <c r="AH17" s="15">
        <f t="shared" si="7"/>
        <v>6</v>
      </c>
      <c r="AI17" s="10"/>
    </row>
    <row r="18" spans="1:35" ht="18" customHeight="1">
      <c r="A18" s="187">
        <v>-50</v>
      </c>
      <c r="B18" s="794" t="s">
        <v>313</v>
      </c>
      <c r="C18" s="795"/>
      <c r="D18" s="795"/>
      <c r="E18" s="795"/>
      <c r="F18" s="795"/>
      <c r="G18" s="318">
        <v>0</v>
      </c>
      <c r="H18" s="313" t="s">
        <v>256</v>
      </c>
      <c r="I18" s="796"/>
      <c r="J18" s="796"/>
      <c r="K18" s="796"/>
      <c r="L18" s="796"/>
      <c r="M18" s="314"/>
      <c r="N18" s="319">
        <f>IF(I18="",0,(-50*I18))</f>
        <v>0</v>
      </c>
      <c r="O18" s="315"/>
      <c r="P18" s="192"/>
      <c r="Q18" s="194"/>
      <c r="R18" s="316"/>
      <c r="S18" s="10"/>
      <c r="T18" s="14">
        <f t="shared" si="2"/>
        <v>21.1</v>
      </c>
      <c r="U18" s="14">
        <f t="shared" si="1"/>
        <v>21.200000000000003</v>
      </c>
      <c r="V18" s="14">
        <f t="shared" si="1"/>
        <v>21.300000000000004</v>
      </c>
      <c r="W18" s="14">
        <f t="shared" si="1"/>
        <v>21.400000000000006</v>
      </c>
      <c r="X18" s="245">
        <f t="shared" si="1"/>
        <v>21.500000000000007</v>
      </c>
      <c r="Y18" s="14">
        <f t="shared" si="6"/>
        <v>56</v>
      </c>
      <c r="Z18" s="10"/>
      <c r="AA18" s="10"/>
      <c r="AB18" s="14">
        <f t="shared" si="8"/>
        <v>90.75</v>
      </c>
      <c r="AC18" s="14">
        <f t="shared" si="9"/>
        <v>91.24</v>
      </c>
      <c r="AD18" s="299">
        <v>30</v>
      </c>
      <c r="AE18" s="10"/>
      <c r="AF18" s="14">
        <f t="shared" si="4"/>
        <v>13.6</v>
      </c>
      <c r="AG18" s="245">
        <f t="shared" si="5"/>
        <v>14.5</v>
      </c>
      <c r="AH18" s="15">
        <f t="shared" si="7"/>
        <v>3</v>
      </c>
      <c r="AI18" s="10"/>
    </row>
    <row r="19" spans="1:35" ht="18" customHeight="1">
      <c r="A19" s="187">
        <v>-50</v>
      </c>
      <c r="B19" s="794" t="s">
        <v>252</v>
      </c>
      <c r="C19" s="795"/>
      <c r="D19" s="795"/>
      <c r="E19" s="795"/>
      <c r="F19" s="795"/>
      <c r="G19" s="816" t="s">
        <v>247</v>
      </c>
      <c r="H19" s="816"/>
      <c r="I19" s="203" t="s">
        <v>248</v>
      </c>
      <c r="J19" s="608"/>
      <c r="K19" s="321" t="s">
        <v>249</v>
      </c>
      <c r="L19" s="609"/>
      <c r="M19" s="322"/>
      <c r="N19" s="319">
        <f>IF(J19="i",-50,0)</f>
        <v>0</v>
      </c>
      <c r="O19" s="315"/>
      <c r="P19" s="192"/>
      <c r="Q19" s="194"/>
      <c r="R19" s="316"/>
      <c r="S19" s="10"/>
      <c r="T19" s="14">
        <f t="shared" si="2"/>
        <v>21.6</v>
      </c>
      <c r="U19" s="14">
        <f t="shared" si="1"/>
        <v>21.700000000000003</v>
      </c>
      <c r="V19" s="14">
        <f t="shared" si="1"/>
        <v>21.800000000000004</v>
      </c>
      <c r="W19" s="14">
        <f t="shared" si="1"/>
        <v>21.900000000000006</v>
      </c>
      <c r="X19" s="245">
        <f t="shared" si="1"/>
        <v>22.000000000000007</v>
      </c>
      <c r="Y19" s="14">
        <f t="shared" si="6"/>
        <v>55</v>
      </c>
      <c r="Z19" s="10"/>
      <c r="AA19" s="10"/>
      <c r="AB19" s="14">
        <f t="shared" si="8"/>
        <v>91.25</v>
      </c>
      <c r="AC19" s="14">
        <f t="shared" si="9"/>
        <v>91.74</v>
      </c>
      <c r="AD19" s="14">
        <f>AD14-3</f>
        <v>27</v>
      </c>
      <c r="AE19" s="10"/>
      <c r="AF19" s="14">
        <f>AF18+1</f>
        <v>14.6</v>
      </c>
      <c r="AG19" s="245"/>
      <c r="AH19" s="15">
        <f t="shared" si="7"/>
        <v>0</v>
      </c>
      <c r="AI19" s="10"/>
    </row>
    <row r="20" spans="1:35" ht="18" customHeight="1">
      <c r="A20" s="187">
        <v>-30</v>
      </c>
      <c r="B20" s="794" t="s">
        <v>253</v>
      </c>
      <c r="C20" s="795"/>
      <c r="D20" s="795"/>
      <c r="E20" s="795"/>
      <c r="F20" s="795"/>
      <c r="G20" s="816" t="s">
        <v>254</v>
      </c>
      <c r="H20" s="816"/>
      <c r="I20" s="203" t="s">
        <v>248</v>
      </c>
      <c r="J20" s="608"/>
      <c r="K20" s="321" t="s">
        <v>249</v>
      </c>
      <c r="L20" s="609"/>
      <c r="M20" s="314"/>
      <c r="N20" s="319">
        <f>IF(J20="",0,-30)</f>
        <v>0</v>
      </c>
      <c r="O20" s="315"/>
      <c r="P20" s="192"/>
      <c r="Q20" s="194"/>
      <c r="R20" s="316"/>
      <c r="S20" s="10"/>
      <c r="T20" s="14">
        <f t="shared" si="2"/>
        <v>22.1</v>
      </c>
      <c r="U20" s="14">
        <f t="shared" si="1"/>
        <v>22.200000000000003</v>
      </c>
      <c r="V20" s="14">
        <f t="shared" si="1"/>
        <v>22.300000000000004</v>
      </c>
      <c r="W20" s="14">
        <f t="shared" si="1"/>
        <v>22.400000000000006</v>
      </c>
      <c r="X20" s="245">
        <f t="shared" si="1"/>
        <v>22.500000000000007</v>
      </c>
      <c r="Y20" s="14">
        <f t="shared" si="6"/>
        <v>55</v>
      </c>
      <c r="Z20" s="323"/>
      <c r="AA20" s="324"/>
      <c r="AB20" s="14">
        <f t="shared" si="8"/>
        <v>91.75</v>
      </c>
      <c r="AC20" s="14">
        <f t="shared" si="9"/>
        <v>92.24</v>
      </c>
      <c r="AD20" s="14">
        <f aca="true" t="shared" si="10" ref="AD20:AD28">AD19-3</f>
        <v>24</v>
      </c>
      <c r="AE20" s="323"/>
      <c r="AF20" s="10"/>
      <c r="AG20" s="245"/>
      <c r="AH20" s="11"/>
      <c r="AI20" s="10"/>
    </row>
    <row r="21" spans="1:35" ht="18" customHeight="1">
      <c r="A21" s="325">
        <v>-30</v>
      </c>
      <c r="B21" s="829" t="s">
        <v>255</v>
      </c>
      <c r="C21" s="830"/>
      <c r="D21" s="830"/>
      <c r="E21" s="830"/>
      <c r="F21" s="830"/>
      <c r="G21" s="326">
        <v>0</v>
      </c>
      <c r="H21" s="327" t="s">
        <v>256</v>
      </c>
      <c r="I21" s="796"/>
      <c r="J21" s="796"/>
      <c r="K21" s="796"/>
      <c r="L21" s="796"/>
      <c r="M21" s="314"/>
      <c r="N21" s="319">
        <f>IF(I21="",0,(-30*I21))</f>
        <v>0</v>
      </c>
      <c r="O21" s="315"/>
      <c r="P21" s="192"/>
      <c r="Q21" s="194"/>
      <c r="R21" s="328"/>
      <c r="S21" s="10"/>
      <c r="T21" s="254">
        <f t="shared" si="2"/>
        <v>22.6</v>
      </c>
      <c r="U21" s="254">
        <f t="shared" si="1"/>
        <v>22.700000000000003</v>
      </c>
      <c r="V21" s="254">
        <f t="shared" si="1"/>
        <v>22.800000000000004</v>
      </c>
      <c r="W21" s="254">
        <f t="shared" si="1"/>
        <v>22.900000000000006</v>
      </c>
      <c r="X21" s="253">
        <f t="shared" si="1"/>
        <v>23.000000000000007</v>
      </c>
      <c r="Y21" s="254">
        <f t="shared" si="6"/>
        <v>54</v>
      </c>
      <c r="Z21" s="302"/>
      <c r="AA21" s="227"/>
      <c r="AB21" s="254">
        <f t="shared" si="8"/>
        <v>92.25</v>
      </c>
      <c r="AC21" s="254">
        <f t="shared" si="9"/>
        <v>92.74</v>
      </c>
      <c r="AD21" s="302">
        <f t="shared" si="10"/>
        <v>21</v>
      </c>
      <c r="AE21" s="302"/>
      <c r="AF21" s="227"/>
      <c r="AG21" s="329"/>
      <c r="AH21" s="330"/>
      <c r="AI21" s="10"/>
    </row>
    <row r="22" spans="1:35" ht="18" customHeight="1">
      <c r="A22" s="187">
        <v>-20</v>
      </c>
      <c r="B22" s="794" t="s">
        <v>257</v>
      </c>
      <c r="C22" s="795"/>
      <c r="D22" s="795"/>
      <c r="E22" s="795"/>
      <c r="F22" s="795"/>
      <c r="G22" s="816" t="s">
        <v>247</v>
      </c>
      <c r="H22" s="816"/>
      <c r="I22" s="203" t="s">
        <v>248</v>
      </c>
      <c r="J22" s="608"/>
      <c r="K22" s="321" t="s">
        <v>249</v>
      </c>
      <c r="L22" s="609"/>
      <c r="M22" s="314"/>
      <c r="N22" s="319">
        <f>IF(J22="",0,-20)</f>
        <v>0</v>
      </c>
      <c r="O22" s="315"/>
      <c r="P22" s="192"/>
      <c r="Q22" s="194"/>
      <c r="R22" s="316"/>
      <c r="S22" s="10"/>
      <c r="T22" s="331">
        <f t="shared" si="2"/>
        <v>23.1</v>
      </c>
      <c r="U22" s="331">
        <f t="shared" si="1"/>
        <v>23.200000000000003</v>
      </c>
      <c r="V22" s="331">
        <f t="shared" si="1"/>
        <v>23.300000000000004</v>
      </c>
      <c r="W22" s="331">
        <f t="shared" si="1"/>
        <v>23.400000000000006</v>
      </c>
      <c r="X22" s="332">
        <f t="shared" si="1"/>
        <v>23.500000000000007</v>
      </c>
      <c r="Y22" s="331">
        <f t="shared" si="6"/>
        <v>54</v>
      </c>
      <c r="Z22" s="323"/>
      <c r="AA22" s="324"/>
      <c r="AB22" s="331">
        <f t="shared" si="8"/>
        <v>92.75</v>
      </c>
      <c r="AC22" s="331">
        <f t="shared" si="9"/>
        <v>93.24</v>
      </c>
      <c r="AD22" s="14">
        <f t="shared" si="10"/>
        <v>18</v>
      </c>
      <c r="AE22" s="323"/>
      <c r="AF22" s="10"/>
      <c r="AG22" s="245"/>
      <c r="AH22" s="333"/>
      <c r="AI22" s="10"/>
    </row>
    <row r="23" spans="1:35" ht="18" customHeight="1">
      <c r="A23" s="325">
        <v>-20</v>
      </c>
      <c r="B23" s="829" t="s">
        <v>260</v>
      </c>
      <c r="C23" s="830"/>
      <c r="D23" s="830"/>
      <c r="E23" s="830"/>
      <c r="F23" s="830"/>
      <c r="G23" s="334">
        <v>0</v>
      </c>
      <c r="H23" s="313" t="s">
        <v>256</v>
      </c>
      <c r="I23" s="796"/>
      <c r="J23" s="796"/>
      <c r="K23" s="796"/>
      <c r="L23" s="796"/>
      <c r="M23" s="335"/>
      <c r="N23" s="319">
        <f>IF(I23="",0,(-20*I23))</f>
        <v>0</v>
      </c>
      <c r="O23" s="315"/>
      <c r="P23" s="192"/>
      <c r="Q23" s="194"/>
      <c r="R23" s="316"/>
      <c r="S23" s="10"/>
      <c r="T23" s="254">
        <f t="shared" si="2"/>
        <v>23.6</v>
      </c>
      <c r="U23" s="254">
        <f t="shared" si="1"/>
        <v>23.700000000000003</v>
      </c>
      <c r="V23" s="254">
        <f t="shared" si="1"/>
        <v>23.800000000000004</v>
      </c>
      <c r="W23" s="254">
        <f t="shared" si="1"/>
        <v>23.900000000000006</v>
      </c>
      <c r="X23" s="253">
        <f t="shared" si="1"/>
        <v>24.000000000000007</v>
      </c>
      <c r="Y23" s="254">
        <f t="shared" si="6"/>
        <v>53</v>
      </c>
      <c r="Z23" s="302"/>
      <c r="AA23" s="227"/>
      <c r="AB23" s="254">
        <f t="shared" si="8"/>
        <v>93.25</v>
      </c>
      <c r="AC23" s="254">
        <f t="shared" si="9"/>
        <v>93.74</v>
      </c>
      <c r="AD23" s="302">
        <f t="shared" si="10"/>
        <v>15</v>
      </c>
      <c r="AE23" s="302"/>
      <c r="AF23" s="227"/>
      <c r="AG23" s="329"/>
      <c r="AH23" s="330"/>
      <c r="AI23" s="10"/>
    </row>
    <row r="24" spans="1:35" ht="18" customHeight="1">
      <c r="A24" s="187">
        <v>-50</v>
      </c>
      <c r="B24" s="814" t="s">
        <v>261</v>
      </c>
      <c r="C24" s="815"/>
      <c r="D24" s="815"/>
      <c r="E24" s="815"/>
      <c r="F24" s="815"/>
      <c r="G24" s="318">
        <v>0</v>
      </c>
      <c r="H24" s="313" t="s">
        <v>256</v>
      </c>
      <c r="I24" s="796"/>
      <c r="J24" s="796"/>
      <c r="K24" s="796"/>
      <c r="L24" s="796"/>
      <c r="M24" s="314"/>
      <c r="N24" s="319">
        <f>IF(I24="",0,(-50*I24))</f>
        <v>0</v>
      </c>
      <c r="O24" s="315"/>
      <c r="P24" s="192"/>
      <c r="Q24" s="194"/>
      <c r="R24" s="336"/>
      <c r="S24" s="10"/>
      <c r="T24" s="14">
        <f t="shared" si="2"/>
        <v>24.1</v>
      </c>
      <c r="U24" s="14">
        <f t="shared" si="1"/>
        <v>24.200000000000003</v>
      </c>
      <c r="V24" s="14">
        <f t="shared" si="1"/>
        <v>24.300000000000004</v>
      </c>
      <c r="W24" s="14">
        <f t="shared" si="1"/>
        <v>24.400000000000006</v>
      </c>
      <c r="X24" s="245">
        <f t="shared" si="1"/>
        <v>24.500000000000007</v>
      </c>
      <c r="Y24" s="14">
        <f t="shared" si="6"/>
        <v>53</v>
      </c>
      <c r="Z24" s="10"/>
      <c r="AA24" s="10"/>
      <c r="AB24" s="14">
        <f t="shared" si="8"/>
        <v>93.75</v>
      </c>
      <c r="AC24" s="14">
        <f t="shared" si="9"/>
        <v>94.24</v>
      </c>
      <c r="AD24" s="14">
        <f t="shared" si="10"/>
        <v>12</v>
      </c>
      <c r="AE24" s="10"/>
      <c r="AF24" s="10"/>
      <c r="AG24" s="245"/>
      <c r="AH24" s="333"/>
      <c r="AI24" s="10"/>
    </row>
    <row r="25" spans="1:35" ht="18" customHeight="1">
      <c r="A25" s="187">
        <v>-20</v>
      </c>
      <c r="B25" s="794" t="s">
        <v>262</v>
      </c>
      <c r="C25" s="795"/>
      <c r="D25" s="795"/>
      <c r="E25" s="795"/>
      <c r="F25" s="795"/>
      <c r="G25" s="318">
        <v>0</v>
      </c>
      <c r="H25" s="313" t="s">
        <v>256</v>
      </c>
      <c r="I25" s="796"/>
      <c r="J25" s="796"/>
      <c r="K25" s="796"/>
      <c r="L25" s="796"/>
      <c r="M25" s="314"/>
      <c r="N25" s="319">
        <f>IF(I25="",0,(-20*I25))</f>
        <v>0</v>
      </c>
      <c r="O25" s="315"/>
      <c r="P25" s="192"/>
      <c r="Q25" s="194"/>
      <c r="R25" s="316"/>
      <c r="S25" s="10"/>
      <c r="T25" s="14">
        <f t="shared" si="2"/>
        <v>24.6</v>
      </c>
      <c r="U25" s="14">
        <f t="shared" si="1"/>
        <v>24.700000000000003</v>
      </c>
      <c r="V25" s="14">
        <f t="shared" si="1"/>
        <v>24.800000000000004</v>
      </c>
      <c r="W25" s="14">
        <f t="shared" si="1"/>
        <v>24.900000000000006</v>
      </c>
      <c r="X25" s="245">
        <f t="shared" si="1"/>
        <v>25.000000000000007</v>
      </c>
      <c r="Y25" s="14">
        <f t="shared" si="6"/>
        <v>52</v>
      </c>
      <c r="Z25" s="10"/>
      <c r="AA25" s="10"/>
      <c r="AB25" s="14">
        <f t="shared" si="8"/>
        <v>94.25</v>
      </c>
      <c r="AC25" s="14">
        <f t="shared" si="9"/>
        <v>94.74</v>
      </c>
      <c r="AD25" s="14">
        <f t="shared" si="10"/>
        <v>9</v>
      </c>
      <c r="AE25" s="10"/>
      <c r="AF25" s="10"/>
      <c r="AG25" s="245"/>
      <c r="AH25" s="11"/>
      <c r="AI25" s="10"/>
    </row>
    <row r="26" spans="1:35" ht="18" customHeight="1">
      <c r="A26" s="187">
        <v>-20</v>
      </c>
      <c r="B26" s="794" t="s">
        <v>263</v>
      </c>
      <c r="C26" s="795"/>
      <c r="D26" s="795"/>
      <c r="E26" s="795"/>
      <c r="F26" s="795"/>
      <c r="G26" s="318">
        <v>0</v>
      </c>
      <c r="H26" s="313" t="s">
        <v>256</v>
      </c>
      <c r="I26" s="796"/>
      <c r="J26" s="796"/>
      <c r="K26" s="796"/>
      <c r="L26" s="796"/>
      <c r="M26" s="314"/>
      <c r="N26" s="319">
        <f>IF(I26="",0,(-20*I26))</f>
        <v>0</v>
      </c>
      <c r="O26" s="315"/>
      <c r="P26" s="192"/>
      <c r="Q26" s="194"/>
      <c r="R26" s="316"/>
      <c r="S26" s="10"/>
      <c r="T26" s="14">
        <f t="shared" si="2"/>
        <v>25.1</v>
      </c>
      <c r="U26" s="14">
        <f t="shared" si="1"/>
        <v>25.200000000000003</v>
      </c>
      <c r="V26" s="14">
        <f t="shared" si="1"/>
        <v>25.300000000000004</v>
      </c>
      <c r="W26" s="14">
        <f t="shared" si="1"/>
        <v>25.400000000000006</v>
      </c>
      <c r="X26" s="245">
        <f t="shared" si="1"/>
        <v>25.500000000000007</v>
      </c>
      <c r="Y26" s="14">
        <f t="shared" si="6"/>
        <v>52</v>
      </c>
      <c r="Z26" s="10"/>
      <c r="AA26" s="10"/>
      <c r="AB26" s="14">
        <f t="shared" si="8"/>
        <v>94.75</v>
      </c>
      <c r="AC26" s="14">
        <f t="shared" si="9"/>
        <v>95.24</v>
      </c>
      <c r="AD26" s="14">
        <f t="shared" si="10"/>
        <v>6</v>
      </c>
      <c r="AE26" s="10"/>
      <c r="AF26" s="10"/>
      <c r="AG26" s="245"/>
      <c r="AH26" s="11"/>
      <c r="AI26" s="10"/>
    </row>
    <row r="27" spans="1:35" ht="18" customHeight="1">
      <c r="A27" s="187">
        <v>-20</v>
      </c>
      <c r="B27" s="794" t="s">
        <v>264</v>
      </c>
      <c r="C27" s="795"/>
      <c r="D27" s="795"/>
      <c r="E27" s="795"/>
      <c r="F27" s="795"/>
      <c r="G27" s="318">
        <v>0</v>
      </c>
      <c r="H27" s="313" t="s">
        <v>256</v>
      </c>
      <c r="I27" s="796"/>
      <c r="J27" s="796"/>
      <c r="K27" s="796"/>
      <c r="L27" s="796"/>
      <c r="M27" s="314"/>
      <c r="N27" s="319">
        <f>IF(I27="",0,(-20*I27))</f>
        <v>0</v>
      </c>
      <c r="O27" s="315"/>
      <c r="P27" s="192"/>
      <c r="Q27" s="194"/>
      <c r="R27" s="316"/>
      <c r="S27" s="10"/>
      <c r="T27" s="14">
        <f t="shared" si="2"/>
        <v>25.6</v>
      </c>
      <c r="U27" s="14">
        <f t="shared" si="1"/>
        <v>25.700000000000003</v>
      </c>
      <c r="V27" s="14">
        <f t="shared" si="1"/>
        <v>25.800000000000004</v>
      </c>
      <c r="W27" s="14">
        <f t="shared" si="1"/>
        <v>25.900000000000006</v>
      </c>
      <c r="X27" s="245">
        <f t="shared" si="1"/>
        <v>26.000000000000007</v>
      </c>
      <c r="Y27" s="14">
        <f t="shared" si="6"/>
        <v>51</v>
      </c>
      <c r="Z27" s="10"/>
      <c r="AA27" s="10"/>
      <c r="AB27" s="14">
        <f t="shared" si="8"/>
        <v>95.25</v>
      </c>
      <c r="AC27" s="14">
        <f t="shared" si="9"/>
        <v>95.74</v>
      </c>
      <c r="AD27" s="14">
        <f t="shared" si="10"/>
        <v>3</v>
      </c>
      <c r="AE27" s="10"/>
      <c r="AF27" s="10"/>
      <c r="AG27" s="245"/>
      <c r="AH27" s="11"/>
      <c r="AI27" s="10"/>
    </row>
    <row r="28" spans="1:35" ht="18" customHeight="1">
      <c r="A28" s="187">
        <v>-50</v>
      </c>
      <c r="B28" s="794" t="s">
        <v>265</v>
      </c>
      <c r="C28" s="795"/>
      <c r="D28" s="795"/>
      <c r="E28" s="795"/>
      <c r="F28" s="795"/>
      <c r="G28" s="318">
        <v>0</v>
      </c>
      <c r="H28" s="313" t="s">
        <v>256</v>
      </c>
      <c r="I28" s="796"/>
      <c r="J28" s="796"/>
      <c r="K28" s="796"/>
      <c r="L28" s="796"/>
      <c r="M28" s="314"/>
      <c r="N28" s="319">
        <f>IF(I28="",0,(-50*I28))</f>
        <v>0</v>
      </c>
      <c r="O28" s="315"/>
      <c r="P28" s="192"/>
      <c r="Q28" s="194"/>
      <c r="R28" s="316"/>
      <c r="S28" s="10"/>
      <c r="T28" s="14">
        <f t="shared" si="2"/>
        <v>26.1</v>
      </c>
      <c r="U28" s="14">
        <f t="shared" si="1"/>
        <v>26.200000000000003</v>
      </c>
      <c r="V28" s="14">
        <f t="shared" si="1"/>
        <v>26.300000000000004</v>
      </c>
      <c r="W28" s="14">
        <f t="shared" si="1"/>
        <v>26.400000000000006</v>
      </c>
      <c r="X28" s="245">
        <f t="shared" si="1"/>
        <v>26.500000000000007</v>
      </c>
      <c r="Y28" s="14">
        <f t="shared" si="6"/>
        <v>51</v>
      </c>
      <c r="Z28" s="10"/>
      <c r="AA28" s="10"/>
      <c r="AB28" s="14">
        <f>AB27+0.5</f>
        <v>95.75</v>
      </c>
      <c r="AC28" s="10"/>
      <c r="AD28" s="14">
        <f t="shared" si="10"/>
        <v>0</v>
      </c>
      <c r="AE28" s="10"/>
      <c r="AF28" s="10"/>
      <c r="AG28" s="245"/>
      <c r="AH28" s="11"/>
      <c r="AI28" s="10"/>
    </row>
    <row r="29" spans="1:35" ht="18" customHeight="1">
      <c r="A29" s="320" t="s">
        <v>314</v>
      </c>
      <c r="B29" s="794" t="s">
        <v>315</v>
      </c>
      <c r="C29" s="795"/>
      <c r="D29" s="795"/>
      <c r="E29" s="795"/>
      <c r="F29" s="795"/>
      <c r="G29" s="816" t="s">
        <v>247</v>
      </c>
      <c r="H29" s="816"/>
      <c r="I29" s="203" t="s">
        <v>248</v>
      </c>
      <c r="J29" s="608"/>
      <c r="K29" s="321" t="s">
        <v>249</v>
      </c>
      <c r="L29" s="609"/>
      <c r="M29" s="314"/>
      <c r="N29" s="835">
        <f>IF(J29="",0,IF(J29="i","szerelés nulla",0))</f>
        <v>0</v>
      </c>
      <c r="O29" s="836"/>
      <c r="P29" s="192"/>
      <c r="Q29" s="194"/>
      <c r="R29" s="316"/>
      <c r="S29" s="10"/>
      <c r="T29" s="14">
        <f t="shared" si="2"/>
        <v>26.6</v>
      </c>
      <c r="U29" s="14">
        <f t="shared" si="1"/>
        <v>26.700000000000003</v>
      </c>
      <c r="V29" s="14">
        <f t="shared" si="1"/>
        <v>26.800000000000004</v>
      </c>
      <c r="W29" s="14">
        <f t="shared" si="1"/>
        <v>26.900000000000006</v>
      </c>
      <c r="X29" s="245">
        <f t="shared" si="1"/>
        <v>27.000000000000007</v>
      </c>
      <c r="Y29" s="14">
        <f t="shared" si="6"/>
        <v>50</v>
      </c>
      <c r="Z29" s="10"/>
      <c r="AA29" s="10"/>
      <c r="AB29" s="10"/>
      <c r="AC29" s="10"/>
      <c r="AD29" s="10"/>
      <c r="AE29" s="10"/>
      <c r="AF29" s="10"/>
      <c r="AG29" s="245"/>
      <c r="AH29" s="11"/>
      <c r="AI29" s="10"/>
    </row>
    <row r="30" spans="1:35" ht="18" customHeight="1">
      <c r="A30" s="320"/>
      <c r="B30" s="216"/>
      <c r="C30" s="217"/>
      <c r="D30" s="217"/>
      <c r="E30" s="217"/>
      <c r="F30" s="217"/>
      <c r="G30" s="298"/>
      <c r="H30" s="337"/>
      <c r="I30" s="833" t="s">
        <v>266</v>
      </c>
      <c r="J30" s="800"/>
      <c r="K30" s="800"/>
      <c r="L30" s="752"/>
      <c r="M30" s="314"/>
      <c r="N30" s="832">
        <f>SUM(N13:N29)</f>
        <v>0</v>
      </c>
      <c r="O30" s="752"/>
      <c r="P30" s="832">
        <f>SUM(P8:P12)</f>
        <v>0</v>
      </c>
      <c r="Q30" s="752"/>
      <c r="R30" s="316"/>
      <c r="S30" s="10"/>
      <c r="T30" s="14"/>
      <c r="U30" s="14"/>
      <c r="V30" s="14"/>
      <c r="W30" s="14"/>
      <c r="X30" s="245"/>
      <c r="Y30" s="14"/>
      <c r="Z30" s="10"/>
      <c r="AA30" s="10"/>
      <c r="AB30" s="10"/>
      <c r="AC30" s="10"/>
      <c r="AD30" s="10"/>
      <c r="AE30" s="10"/>
      <c r="AF30" s="10"/>
      <c r="AG30" s="245"/>
      <c r="AH30" s="10"/>
      <c r="AI30" s="10"/>
    </row>
    <row r="31" spans="1:35" ht="18" customHeight="1">
      <c r="A31" s="311" t="s">
        <v>316</v>
      </c>
      <c r="B31" s="216"/>
      <c r="C31" s="217"/>
      <c r="D31" s="217"/>
      <c r="E31" s="217"/>
      <c r="F31" s="217"/>
      <c r="G31" s="182"/>
      <c r="H31" s="313"/>
      <c r="I31" s="833" t="s">
        <v>267</v>
      </c>
      <c r="J31" s="799"/>
      <c r="K31" s="799"/>
      <c r="L31" s="834"/>
      <c r="M31" s="314"/>
      <c r="N31" s="831">
        <f>P30+N30</f>
        <v>0</v>
      </c>
      <c r="O31" s="831"/>
      <c r="P31" s="831"/>
      <c r="Q31" s="831"/>
      <c r="R31" s="316"/>
      <c r="S31" s="10"/>
      <c r="T31" s="14">
        <f>T29+0.5</f>
        <v>27.1</v>
      </c>
      <c r="U31" s="14">
        <f aca="true" t="shared" si="11" ref="U31:X34">T31+0.1</f>
        <v>27.200000000000003</v>
      </c>
      <c r="V31" s="14">
        <f t="shared" si="11"/>
        <v>27.300000000000004</v>
      </c>
      <c r="W31" s="14">
        <f t="shared" si="11"/>
        <v>27.400000000000006</v>
      </c>
      <c r="X31" s="245">
        <f t="shared" si="11"/>
        <v>27.500000000000007</v>
      </c>
      <c r="Y31" s="14">
        <f>Y28-1</f>
        <v>50</v>
      </c>
      <c r="Z31" s="10"/>
      <c r="AA31" s="10"/>
      <c r="AB31" s="10"/>
      <c r="AC31" s="10"/>
      <c r="AD31" s="10"/>
      <c r="AE31" s="10"/>
      <c r="AF31" s="10"/>
      <c r="AG31" s="245"/>
      <c r="AH31" s="11"/>
      <c r="AI31" s="10"/>
    </row>
    <row r="32" spans="1:35" ht="12.75" customHeight="1">
      <c r="A32" s="338" t="s">
        <v>317</v>
      </c>
      <c r="B32" s="220"/>
      <c r="C32" s="277"/>
      <c r="D32" s="277"/>
      <c r="E32" s="277"/>
      <c r="F32" s="277"/>
      <c r="G32" s="221"/>
      <c r="H32" s="222"/>
      <c r="I32" s="339"/>
      <c r="J32" s="339"/>
      <c r="K32" s="339"/>
      <c r="L32" s="339"/>
      <c r="M32" s="339"/>
      <c r="N32" s="339"/>
      <c r="O32" s="224"/>
      <c r="P32" s="224"/>
      <c r="Q32" s="224"/>
      <c r="R32" s="10"/>
      <c r="S32" s="10"/>
      <c r="T32" s="14">
        <f>T31+0.5</f>
        <v>27.6</v>
      </c>
      <c r="U32" s="14">
        <f t="shared" si="11"/>
        <v>27.700000000000003</v>
      </c>
      <c r="V32" s="14">
        <f t="shared" si="11"/>
        <v>27.800000000000004</v>
      </c>
      <c r="W32" s="14">
        <f t="shared" si="11"/>
        <v>27.900000000000006</v>
      </c>
      <c r="X32" s="245">
        <f t="shared" si="11"/>
        <v>28.000000000000007</v>
      </c>
      <c r="Y32" s="14">
        <f>Y29-1</f>
        <v>49</v>
      </c>
      <c r="Z32" s="10"/>
      <c r="AA32" s="10"/>
      <c r="AB32" s="10"/>
      <c r="AC32" s="10"/>
      <c r="AD32" s="10"/>
      <c r="AE32" s="10"/>
      <c r="AF32" s="10"/>
      <c r="AG32" s="245"/>
      <c r="AH32" s="11"/>
      <c r="AI32" s="10"/>
    </row>
    <row r="33" spans="1:35" ht="12" customHeight="1">
      <c r="A33" s="340" t="s">
        <v>318</v>
      </c>
      <c r="B33" s="154"/>
      <c r="C33" s="154"/>
      <c r="D33" s="154"/>
      <c r="E33" s="154"/>
      <c r="F33" s="154"/>
      <c r="G33" s="154"/>
      <c r="H33" s="154"/>
      <c r="I33" s="227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4">
        <f>T32+0.5</f>
        <v>28.1</v>
      </c>
      <c r="U33" s="14">
        <f t="shared" si="11"/>
        <v>28.200000000000003</v>
      </c>
      <c r="V33" s="14">
        <f t="shared" si="11"/>
        <v>28.300000000000004</v>
      </c>
      <c r="W33" s="14">
        <f t="shared" si="11"/>
        <v>28.400000000000006</v>
      </c>
      <c r="X33" s="245">
        <f t="shared" si="11"/>
        <v>28.500000000000007</v>
      </c>
      <c r="Y33" s="14">
        <f>Y31-1</f>
        <v>49</v>
      </c>
      <c r="Z33" s="10"/>
      <c r="AA33" s="10"/>
      <c r="AB33" s="10"/>
      <c r="AC33" s="10"/>
      <c r="AD33" s="10"/>
      <c r="AE33" s="10"/>
      <c r="AF33" s="10"/>
      <c r="AG33" s="10"/>
      <c r="AH33" s="11"/>
      <c r="AI33" s="10"/>
    </row>
    <row r="34" spans="1:35" ht="12" customHeight="1">
      <c r="A34" s="231"/>
      <c r="B34" s="235"/>
      <c r="C34" s="235"/>
      <c r="D34" s="235"/>
      <c r="E34" s="154"/>
      <c r="F34" s="341"/>
      <c r="G34" s="228"/>
      <c r="H34" s="302"/>
      <c r="I34" s="10"/>
      <c r="J34" s="227"/>
      <c r="K34" s="14"/>
      <c r="L34" s="14"/>
      <c r="M34" s="14"/>
      <c r="N34" s="14"/>
      <c r="O34" s="14"/>
      <c r="P34" s="14"/>
      <c r="Q34" s="14"/>
      <c r="R34" s="14"/>
      <c r="S34" s="10"/>
      <c r="T34" s="342">
        <f>T33+0.5</f>
        <v>28.6</v>
      </c>
      <c r="U34" s="342">
        <f t="shared" si="11"/>
        <v>28.700000000000003</v>
      </c>
      <c r="V34" s="342">
        <f t="shared" si="11"/>
        <v>28.800000000000004</v>
      </c>
      <c r="W34" s="342">
        <f t="shared" si="11"/>
        <v>28.900000000000006</v>
      </c>
      <c r="X34" s="343">
        <f t="shared" si="11"/>
        <v>29.000000000000007</v>
      </c>
      <c r="Y34" s="342">
        <f>Y32-1</f>
        <v>48</v>
      </c>
      <c r="Z34" s="36"/>
      <c r="AA34" s="36"/>
      <c r="AB34" s="36"/>
      <c r="AC34" s="36"/>
      <c r="AD34" s="36"/>
      <c r="AE34" s="36"/>
      <c r="AF34" s="36"/>
      <c r="AG34" s="36"/>
      <c r="AH34" s="38"/>
      <c r="AI34" s="10"/>
    </row>
  </sheetData>
  <sheetProtection password="E074" sheet="1" objects="1" scenarios="1"/>
  <mergeCells count="70">
    <mergeCell ref="B25:F25"/>
    <mergeCell ref="P8:Q8"/>
    <mergeCell ref="P9:Q9"/>
    <mergeCell ref="P10:Q10"/>
    <mergeCell ref="P11:Q11"/>
    <mergeCell ref="P12:Q12"/>
    <mergeCell ref="B18:F18"/>
    <mergeCell ref="B19:F19"/>
    <mergeCell ref="B27:F27"/>
    <mergeCell ref="B11:F11"/>
    <mergeCell ref="I30:L30"/>
    <mergeCell ref="B13:F13"/>
    <mergeCell ref="G29:H29"/>
    <mergeCell ref="B29:F29"/>
    <mergeCell ref="I27:L27"/>
    <mergeCell ref="I18:L18"/>
    <mergeCell ref="B23:F23"/>
    <mergeCell ref="I26:L26"/>
    <mergeCell ref="N31:Q31"/>
    <mergeCell ref="I21:L21"/>
    <mergeCell ref="P30:Q30"/>
    <mergeCell ref="I31:L31"/>
    <mergeCell ref="N30:O30"/>
    <mergeCell ref="N29:O29"/>
    <mergeCell ref="I25:L25"/>
    <mergeCell ref="I23:L23"/>
    <mergeCell ref="B28:F28"/>
    <mergeCell ref="I17:L17"/>
    <mergeCell ref="B17:F17"/>
    <mergeCell ref="B16:F16"/>
    <mergeCell ref="B26:F26"/>
    <mergeCell ref="B20:F20"/>
    <mergeCell ref="B21:F21"/>
    <mergeCell ref="G19:H19"/>
    <mergeCell ref="G22:H22"/>
    <mergeCell ref="I28:L28"/>
    <mergeCell ref="B14:F14"/>
    <mergeCell ref="I14:L14"/>
    <mergeCell ref="I15:L15"/>
    <mergeCell ref="I11:L11"/>
    <mergeCell ref="I12:L12"/>
    <mergeCell ref="I13:L13"/>
    <mergeCell ref="B9:F9"/>
    <mergeCell ref="B12:F12"/>
    <mergeCell ref="I9:L9"/>
    <mergeCell ref="B24:F24"/>
    <mergeCell ref="I24:L24"/>
    <mergeCell ref="G20:H20"/>
    <mergeCell ref="B15:F15"/>
    <mergeCell ref="B22:F22"/>
    <mergeCell ref="I16:L16"/>
    <mergeCell ref="A1:H2"/>
    <mergeCell ref="I7:L7"/>
    <mergeCell ref="B8:F8"/>
    <mergeCell ref="I2:Q2"/>
    <mergeCell ref="N4:Q5"/>
    <mergeCell ref="N7:O7"/>
    <mergeCell ref="I4:L5"/>
    <mergeCell ref="A6:M6"/>
    <mergeCell ref="B7:F7"/>
    <mergeCell ref="A4:G5"/>
    <mergeCell ref="B10:F10"/>
    <mergeCell ref="I10:L10"/>
    <mergeCell ref="A3:F3"/>
    <mergeCell ref="M4:M5"/>
    <mergeCell ref="G3:Q3"/>
    <mergeCell ref="N6:Q6"/>
    <mergeCell ref="P7:Q7"/>
    <mergeCell ref="H4:H5"/>
    <mergeCell ref="I8:L8"/>
  </mergeCells>
  <printOptions/>
  <pageMargins left="0.7875" right="0.354861" top="0.577083" bottom="0.576389" header="0.511806" footer="0.511806"/>
  <pageSetup horizontalDpi="600" verticalDpi="600" orientation="portrait" scale="85"/>
  <headerFooter alignWithMargins="0">
    <oddFooter>&amp;C000000&amp;P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130"/>
  <sheetViews>
    <sheetView showGridLines="0" workbookViewId="0" topLeftCell="A1">
      <selection activeCell="A1" sqref="A1:H1"/>
    </sheetView>
  </sheetViews>
  <sheetFormatPr defaultColWidth="8.8515625" defaultRowHeight="15.75" customHeight="1"/>
  <cols>
    <col min="1" max="5" width="5.00390625" style="5" customWidth="1"/>
    <col min="6" max="6" width="9.7109375" style="5" customWidth="1"/>
    <col min="7" max="16" width="5.00390625" style="5" customWidth="1"/>
    <col min="17" max="17" width="4.8515625" style="5" customWidth="1"/>
    <col min="18" max="18" width="5.00390625" style="5" customWidth="1"/>
    <col min="19" max="19" width="9.140625" style="5" customWidth="1"/>
    <col min="20" max="33" width="8.8515625" style="5" hidden="1" customWidth="1"/>
    <col min="34" max="16384" width="8.8515625" style="5" customWidth="1"/>
  </cols>
  <sheetData>
    <row r="1" spans="1:34" ht="15.75" customHeight="1">
      <c r="A1" s="868" t="s">
        <v>320</v>
      </c>
      <c r="B1" s="869"/>
      <c r="C1" s="869"/>
      <c r="D1" s="869"/>
      <c r="E1" s="869"/>
      <c r="F1" s="869"/>
      <c r="G1" s="869"/>
      <c r="H1" s="869"/>
      <c r="I1" s="855" t="s">
        <v>321</v>
      </c>
      <c r="J1" s="856"/>
      <c r="K1" s="856"/>
      <c r="L1" s="856"/>
      <c r="M1" s="856"/>
      <c r="N1" s="856"/>
      <c r="O1" s="856"/>
      <c r="P1" s="856"/>
      <c r="Q1" s="857"/>
      <c r="R1" s="9"/>
      <c r="S1" s="10"/>
      <c r="T1" s="10"/>
      <c r="U1" s="235"/>
      <c r="V1" s="231" t="s">
        <v>282</v>
      </c>
      <c r="W1" s="235"/>
      <c r="X1" s="235"/>
      <c r="Y1" s="235"/>
      <c r="Z1" s="10"/>
      <c r="AA1" s="10"/>
      <c r="AB1" s="231" t="s">
        <v>297</v>
      </c>
      <c r="AC1" s="227"/>
      <c r="AD1" s="10"/>
      <c r="AE1" s="10"/>
      <c r="AF1" s="166" t="s">
        <v>322</v>
      </c>
      <c r="AG1" s="230"/>
      <c r="AH1" s="10"/>
    </row>
    <row r="2" spans="1:34" ht="18" customHeight="1">
      <c r="A2" s="870"/>
      <c r="B2" s="871"/>
      <c r="C2" s="871"/>
      <c r="D2" s="871"/>
      <c r="E2" s="871"/>
      <c r="F2" s="871"/>
      <c r="G2" s="871"/>
      <c r="H2" s="871"/>
      <c r="I2" s="858"/>
      <c r="J2" s="858"/>
      <c r="K2" s="858"/>
      <c r="L2" s="858"/>
      <c r="M2" s="858"/>
      <c r="N2" s="858"/>
      <c r="O2" s="858"/>
      <c r="P2" s="858"/>
      <c r="Q2" s="859"/>
      <c r="R2" s="344"/>
      <c r="S2" s="10"/>
      <c r="T2" s="235"/>
      <c r="U2" s="235"/>
      <c r="V2" s="235"/>
      <c r="W2" s="235"/>
      <c r="X2" s="235"/>
      <c r="Y2" s="227"/>
      <c r="Z2" s="10"/>
      <c r="AA2" s="235"/>
      <c r="AB2" s="235"/>
      <c r="AC2" s="227"/>
      <c r="AD2" s="323"/>
      <c r="AE2" s="345"/>
      <c r="AF2" s="345"/>
      <c r="AG2" s="345"/>
      <c r="AH2" s="10"/>
    </row>
    <row r="3" spans="1:34" ht="22.5" customHeight="1">
      <c r="A3" s="843" t="s">
        <v>220</v>
      </c>
      <c r="B3" s="844"/>
      <c r="C3" s="849"/>
      <c r="D3" s="850"/>
      <c r="E3" s="850"/>
      <c r="F3" s="850"/>
      <c r="G3" s="848"/>
      <c r="H3" s="851" t="s">
        <v>221</v>
      </c>
      <c r="I3" s="796"/>
      <c r="J3" s="852"/>
      <c r="K3" s="848"/>
      <c r="L3" s="840"/>
      <c r="M3" s="840"/>
      <c r="N3" s="840"/>
      <c r="O3" s="840"/>
      <c r="P3" s="840"/>
      <c r="Q3" s="840"/>
      <c r="R3" s="296"/>
      <c r="S3" s="10"/>
      <c r="T3" s="227">
        <v>14.1</v>
      </c>
      <c r="U3" s="227">
        <f aca="true" t="shared" si="0" ref="U3:X6">T3+0.1</f>
        <v>14.2</v>
      </c>
      <c r="V3" s="227">
        <f t="shared" si="0"/>
        <v>14.299999999999999</v>
      </c>
      <c r="W3" s="227">
        <f t="shared" si="0"/>
        <v>14.399999999999999</v>
      </c>
      <c r="X3" s="227">
        <f t="shared" si="0"/>
        <v>14.499999999999998</v>
      </c>
      <c r="Y3" s="227">
        <v>63</v>
      </c>
      <c r="Z3" s="10"/>
      <c r="AA3" s="227"/>
      <c r="AB3" s="227">
        <v>85.74</v>
      </c>
      <c r="AC3" s="227">
        <v>0</v>
      </c>
      <c r="AD3" s="10"/>
      <c r="AE3" s="346">
        <v>0</v>
      </c>
      <c r="AF3" s="230">
        <v>1.5</v>
      </c>
      <c r="AG3" s="230">
        <v>80</v>
      </c>
      <c r="AH3" s="10"/>
    </row>
    <row r="4" spans="1:34" ht="10.5" customHeight="1">
      <c r="A4" s="758" t="s">
        <v>300</v>
      </c>
      <c r="B4" s="795"/>
      <c r="C4" s="795"/>
      <c r="D4" s="795"/>
      <c r="E4" s="795"/>
      <c r="F4" s="795"/>
      <c r="G4" s="795"/>
      <c r="H4" s="796"/>
      <c r="I4" s="841" t="s">
        <v>222</v>
      </c>
      <c r="J4" s="842"/>
      <c r="K4" s="842"/>
      <c r="L4" s="842"/>
      <c r="M4" s="833" t="s">
        <v>223</v>
      </c>
      <c r="N4" s="860">
        <f>IF(N31&lt;=0,0,IF(H4="i",N31+3,N31))</f>
        <v>0</v>
      </c>
      <c r="O4" s="812"/>
      <c r="P4" s="812"/>
      <c r="Q4" s="813"/>
      <c r="R4" s="296"/>
      <c r="S4" s="10"/>
      <c r="T4" s="227">
        <f>T3+0.5</f>
        <v>14.6</v>
      </c>
      <c r="U4" s="227">
        <f t="shared" si="0"/>
        <v>14.7</v>
      </c>
      <c r="V4" s="227">
        <f t="shared" si="0"/>
        <v>14.799999999999999</v>
      </c>
      <c r="W4" s="227">
        <f t="shared" si="0"/>
        <v>14.899999999999999</v>
      </c>
      <c r="X4" s="329">
        <f t="shared" si="0"/>
        <v>14.999999999999998</v>
      </c>
      <c r="Y4" s="227">
        <f>Y3-1</f>
        <v>62</v>
      </c>
      <c r="Z4" s="299"/>
      <c r="AA4" s="227">
        <v>85.75</v>
      </c>
      <c r="AB4" s="227">
        <v>86.24</v>
      </c>
      <c r="AC4" s="227">
        <f>AC5-3</f>
        <v>2</v>
      </c>
      <c r="AD4" s="10"/>
      <c r="AE4" s="230">
        <f>AE3+1.6</f>
        <v>1.6</v>
      </c>
      <c r="AF4" s="230">
        <f>AF3+1</f>
        <v>2.5</v>
      </c>
      <c r="AG4" s="230">
        <f>AG3-2</f>
        <v>78</v>
      </c>
      <c r="AH4" s="10"/>
    </row>
    <row r="5" spans="1:34" ht="15" customHeight="1">
      <c r="A5" s="795"/>
      <c r="B5" s="795"/>
      <c r="C5" s="795"/>
      <c r="D5" s="795"/>
      <c r="E5" s="795"/>
      <c r="F5" s="795"/>
      <c r="G5" s="795"/>
      <c r="H5" s="796"/>
      <c r="I5" s="842"/>
      <c r="J5" s="842"/>
      <c r="K5" s="842"/>
      <c r="L5" s="842"/>
      <c r="M5" s="832"/>
      <c r="N5" s="812"/>
      <c r="O5" s="812"/>
      <c r="P5" s="812"/>
      <c r="Q5" s="813"/>
      <c r="R5" s="301"/>
      <c r="S5" s="10"/>
      <c r="T5" s="227">
        <f>T4+0.5</f>
        <v>15.1</v>
      </c>
      <c r="U5" s="227">
        <f t="shared" si="0"/>
        <v>15.2</v>
      </c>
      <c r="V5" s="227">
        <f t="shared" si="0"/>
        <v>15.299999999999999</v>
      </c>
      <c r="W5" s="227">
        <f t="shared" si="0"/>
        <v>15.399999999999999</v>
      </c>
      <c r="X5" s="329">
        <f t="shared" si="0"/>
        <v>15.499999999999998</v>
      </c>
      <c r="Y5" s="227">
        <v>62</v>
      </c>
      <c r="Z5" s="302"/>
      <c r="AA5" s="227">
        <v>86.25</v>
      </c>
      <c r="AB5" s="227">
        <v>86.74</v>
      </c>
      <c r="AC5" s="227">
        <f>AC6-3</f>
        <v>5</v>
      </c>
      <c r="AD5" s="302"/>
      <c r="AE5" s="347">
        <f>AE4+1</f>
        <v>2.6</v>
      </c>
      <c r="AF5" s="347">
        <f>AF4+1</f>
        <v>3.5</v>
      </c>
      <c r="AG5" s="347">
        <f>AG4-2</f>
        <v>76</v>
      </c>
      <c r="AH5" s="10"/>
    </row>
    <row r="6" spans="1:34" ht="18" customHeight="1">
      <c r="A6" s="348" t="s">
        <v>224</v>
      </c>
      <c r="B6" s="349" t="s">
        <v>225</v>
      </c>
      <c r="C6" s="350"/>
      <c r="D6" s="350"/>
      <c r="E6" s="350"/>
      <c r="F6" s="351"/>
      <c r="G6" s="307" t="s">
        <v>280</v>
      </c>
      <c r="H6" s="308"/>
      <c r="I6" s="760" t="s">
        <v>227</v>
      </c>
      <c r="J6" s="831"/>
      <c r="K6" s="831"/>
      <c r="L6" s="831"/>
      <c r="M6" s="309"/>
      <c r="N6" s="685" t="s">
        <v>224</v>
      </c>
      <c r="O6" s="799"/>
      <c r="P6" s="799"/>
      <c r="Q6" s="834"/>
      <c r="R6" s="328"/>
      <c r="S6" s="10"/>
      <c r="T6" s="227">
        <f>T5+0.5</f>
        <v>15.6</v>
      </c>
      <c r="U6" s="227">
        <f t="shared" si="0"/>
        <v>15.7</v>
      </c>
      <c r="V6" s="227">
        <f t="shared" si="0"/>
        <v>15.799999999999999</v>
      </c>
      <c r="W6" s="227">
        <f t="shared" si="0"/>
        <v>15.899999999999999</v>
      </c>
      <c r="X6" s="329">
        <f t="shared" si="0"/>
        <v>15.999999999999998</v>
      </c>
      <c r="Y6" s="227">
        <f>Y5-1</f>
        <v>61</v>
      </c>
      <c r="Z6" s="10"/>
      <c r="AA6" s="227">
        <v>86.75</v>
      </c>
      <c r="AB6" s="227">
        <v>87.24</v>
      </c>
      <c r="AC6" s="227">
        <f>AC8-3</f>
        <v>8</v>
      </c>
      <c r="AD6" s="10"/>
      <c r="AE6" s="352">
        <f>AE5+1</f>
        <v>3.6</v>
      </c>
      <c r="AF6" s="352">
        <f>AF5+1</f>
        <v>4.5</v>
      </c>
      <c r="AG6" s="352">
        <f>AG5-2</f>
        <v>74</v>
      </c>
      <c r="AH6" s="10"/>
    </row>
    <row r="7" spans="1:34" ht="18" customHeight="1">
      <c r="A7" s="861"/>
      <c r="B7" s="862"/>
      <c r="C7" s="862"/>
      <c r="D7" s="862"/>
      <c r="E7" s="862"/>
      <c r="F7" s="862"/>
      <c r="G7" s="862"/>
      <c r="H7" s="863"/>
      <c r="I7" s="833"/>
      <c r="J7" s="799"/>
      <c r="K7" s="799"/>
      <c r="L7" s="834"/>
      <c r="M7" s="353"/>
      <c r="N7" s="685" t="s">
        <v>143</v>
      </c>
      <c r="O7" s="834"/>
      <c r="P7" s="685" t="s">
        <v>228</v>
      </c>
      <c r="Q7" s="834"/>
      <c r="R7" s="328"/>
      <c r="S7" s="10"/>
      <c r="T7" s="227"/>
      <c r="U7" s="227"/>
      <c r="V7" s="227"/>
      <c r="W7" s="227"/>
      <c r="X7" s="329"/>
      <c r="Y7" s="227"/>
      <c r="Z7" s="10"/>
      <c r="AA7" s="227"/>
      <c r="AB7" s="227"/>
      <c r="AC7" s="227"/>
      <c r="AD7" s="10"/>
      <c r="AE7" s="352"/>
      <c r="AF7" s="352"/>
      <c r="AG7" s="352"/>
      <c r="AH7" s="10"/>
    </row>
    <row r="8" spans="1:34" ht="18" customHeight="1">
      <c r="A8" s="348" t="s">
        <v>301</v>
      </c>
      <c r="B8" s="758" t="s">
        <v>282</v>
      </c>
      <c r="C8" s="795"/>
      <c r="D8" s="795"/>
      <c r="E8" s="795"/>
      <c r="F8" s="795"/>
      <c r="G8" s="354">
        <v>0</v>
      </c>
      <c r="H8" s="355" t="s">
        <v>283</v>
      </c>
      <c r="I8" s="839"/>
      <c r="J8" s="840"/>
      <c r="K8" s="840"/>
      <c r="L8" s="840"/>
      <c r="M8" s="356"/>
      <c r="N8" s="357"/>
      <c r="O8" s="358"/>
      <c r="P8" s="359">
        <f>IF(I8="","",VLOOKUP(I8,T3:Y129,6))</f>
      </c>
      <c r="Q8" s="360"/>
      <c r="R8" s="316"/>
      <c r="S8" s="10"/>
      <c r="T8" s="227">
        <f>T6+0.5</f>
        <v>16.1</v>
      </c>
      <c r="U8" s="227">
        <f aca="true" t="shared" si="1" ref="U8:X27">T8+0.1</f>
        <v>16.200000000000003</v>
      </c>
      <c r="V8" s="227">
        <f t="shared" si="1"/>
        <v>16.300000000000004</v>
      </c>
      <c r="W8" s="227">
        <f t="shared" si="1"/>
        <v>16.400000000000006</v>
      </c>
      <c r="X8" s="329">
        <f t="shared" si="1"/>
        <v>16.500000000000007</v>
      </c>
      <c r="Y8" s="227">
        <f>Y5-1</f>
        <v>61</v>
      </c>
      <c r="Z8" s="10"/>
      <c r="AA8" s="227">
        <f>AA6+0.5</f>
        <v>87.25</v>
      </c>
      <c r="AB8" s="227">
        <f>AB6+0.5</f>
        <v>87.74</v>
      </c>
      <c r="AC8" s="227">
        <f>AC9-3</f>
        <v>11</v>
      </c>
      <c r="AD8" s="10"/>
      <c r="AE8" s="352">
        <f>AE6+1</f>
        <v>4.6</v>
      </c>
      <c r="AF8" s="352">
        <f>AF6+1</f>
        <v>5.5</v>
      </c>
      <c r="AG8" s="352">
        <f>AG6-2</f>
        <v>72</v>
      </c>
      <c r="AH8" s="10"/>
    </row>
    <row r="9" spans="1:34" ht="18" customHeight="1">
      <c r="A9" s="188">
        <v>20</v>
      </c>
      <c r="B9" s="758" t="s">
        <v>302</v>
      </c>
      <c r="C9" s="795"/>
      <c r="D9" s="795"/>
      <c r="E9" s="795"/>
      <c r="F9" s="795"/>
      <c r="G9" s="361" t="s">
        <v>323</v>
      </c>
      <c r="H9" s="355" t="s">
        <v>269</v>
      </c>
      <c r="I9" s="839"/>
      <c r="J9" s="840"/>
      <c r="K9" s="840"/>
      <c r="L9" s="840"/>
      <c r="M9" s="356"/>
      <c r="N9" s="357"/>
      <c r="O9" s="358"/>
      <c r="P9" s="359">
        <f>IF(I9="","",VLOOKUP(I9,AA3:AC18,3))</f>
      </c>
      <c r="Q9" s="360"/>
      <c r="R9" s="316"/>
      <c r="S9" s="10"/>
      <c r="T9" s="227">
        <f aca="true" t="shared" si="2" ref="T9:T40">T8+0.5</f>
        <v>16.6</v>
      </c>
      <c r="U9" s="227">
        <f t="shared" si="1"/>
        <v>16.700000000000003</v>
      </c>
      <c r="V9" s="227">
        <f t="shared" si="1"/>
        <v>16.800000000000004</v>
      </c>
      <c r="W9" s="227">
        <f t="shared" si="1"/>
        <v>16.900000000000006</v>
      </c>
      <c r="X9" s="329">
        <f t="shared" si="1"/>
        <v>17.000000000000007</v>
      </c>
      <c r="Y9" s="227">
        <f>Y6-1</f>
        <v>60</v>
      </c>
      <c r="Z9" s="10"/>
      <c r="AA9" s="227">
        <f>AA8+0.5</f>
        <v>87.75</v>
      </c>
      <c r="AB9" s="227">
        <f>AB8+0.5</f>
        <v>88.24</v>
      </c>
      <c r="AC9" s="227">
        <f>AC10-3</f>
        <v>14</v>
      </c>
      <c r="AD9" s="10"/>
      <c r="AE9" s="352">
        <f aca="true" t="shared" si="3" ref="AE9:AE43">AE8+1</f>
        <v>5.6</v>
      </c>
      <c r="AF9" s="352">
        <f aca="true" t="shared" si="4" ref="AF9:AF43">AF8+1</f>
        <v>6.5</v>
      </c>
      <c r="AG9" s="352">
        <f aca="true" t="shared" si="5" ref="AG9:AG44">AG8-2</f>
        <v>70</v>
      </c>
      <c r="AH9" s="10"/>
    </row>
    <row r="10" spans="1:34" ht="18" customHeight="1">
      <c r="A10" s="188">
        <v>80</v>
      </c>
      <c r="B10" s="758" t="s">
        <v>324</v>
      </c>
      <c r="C10" s="795"/>
      <c r="D10" s="795"/>
      <c r="E10" s="795"/>
      <c r="F10" s="795"/>
      <c r="G10" s="354">
        <v>0</v>
      </c>
      <c r="H10" s="355" t="s">
        <v>242</v>
      </c>
      <c r="I10" s="845"/>
      <c r="J10" s="846"/>
      <c r="K10" s="846"/>
      <c r="L10" s="847"/>
      <c r="M10" s="356"/>
      <c r="N10" s="357"/>
      <c r="O10" s="358"/>
      <c r="P10" s="359">
        <f>IF(I10="","",VLOOKUP(I10,AE3:AG44,3))</f>
      </c>
      <c r="Q10" s="360"/>
      <c r="R10" s="316"/>
      <c r="S10" s="10"/>
      <c r="T10" s="227">
        <f t="shared" si="2"/>
        <v>17.1</v>
      </c>
      <c r="U10" s="227">
        <f t="shared" si="1"/>
        <v>17.200000000000003</v>
      </c>
      <c r="V10" s="227">
        <f t="shared" si="1"/>
        <v>17.300000000000004</v>
      </c>
      <c r="W10" s="227">
        <f t="shared" si="1"/>
        <v>17.400000000000006</v>
      </c>
      <c r="X10" s="329">
        <f t="shared" si="1"/>
        <v>17.500000000000007</v>
      </c>
      <c r="Y10" s="227">
        <f aca="true" t="shared" si="6" ref="Y10:Y41">Y8-1</f>
        <v>60</v>
      </c>
      <c r="Z10" s="10"/>
      <c r="AA10" s="227">
        <f>AA9+0.5</f>
        <v>88.25</v>
      </c>
      <c r="AB10" s="227">
        <f>AB9+0.5</f>
        <v>88.74</v>
      </c>
      <c r="AC10" s="227">
        <f>AC11-3</f>
        <v>17</v>
      </c>
      <c r="AD10" s="10"/>
      <c r="AE10" s="352">
        <f t="shared" si="3"/>
        <v>6.6</v>
      </c>
      <c r="AF10" s="352">
        <f t="shared" si="4"/>
        <v>7.5</v>
      </c>
      <c r="AG10" s="352">
        <f t="shared" si="5"/>
        <v>68</v>
      </c>
      <c r="AH10" s="10"/>
    </row>
    <row r="11" spans="1:34" ht="18" customHeight="1">
      <c r="A11" s="190" t="s">
        <v>325</v>
      </c>
      <c r="B11" s="758" t="s">
        <v>326</v>
      </c>
      <c r="C11" s="795"/>
      <c r="D11" s="795"/>
      <c r="E11" s="795"/>
      <c r="F11" s="795"/>
      <c r="G11" s="760" t="s">
        <v>247</v>
      </c>
      <c r="H11" s="816"/>
      <c r="I11" s="362" t="s">
        <v>248</v>
      </c>
      <c r="J11" s="593"/>
      <c r="K11" s="362" t="s">
        <v>249</v>
      </c>
      <c r="L11" s="593"/>
      <c r="M11" s="356"/>
      <c r="N11" s="363">
        <f>IF(J11="i",-80,0)</f>
        <v>0</v>
      </c>
      <c r="O11" s="360"/>
      <c r="P11" s="357"/>
      <c r="Q11" s="358"/>
      <c r="R11" s="316"/>
      <c r="S11" s="10"/>
      <c r="T11" s="227">
        <f t="shared" si="2"/>
        <v>17.6</v>
      </c>
      <c r="U11" s="227">
        <f t="shared" si="1"/>
        <v>17.700000000000003</v>
      </c>
      <c r="V11" s="227">
        <f t="shared" si="1"/>
        <v>17.800000000000004</v>
      </c>
      <c r="W11" s="227">
        <f t="shared" si="1"/>
        <v>17.900000000000006</v>
      </c>
      <c r="X11" s="329">
        <f t="shared" si="1"/>
        <v>18.000000000000007</v>
      </c>
      <c r="Y11" s="227">
        <f t="shared" si="6"/>
        <v>59</v>
      </c>
      <c r="Z11" s="10"/>
      <c r="AA11" s="227">
        <f>AA10+0.5</f>
        <v>88.75</v>
      </c>
      <c r="AB11" s="227">
        <v>91.24</v>
      </c>
      <c r="AC11" s="227">
        <v>20</v>
      </c>
      <c r="AD11" s="10"/>
      <c r="AE11" s="352">
        <f t="shared" si="3"/>
        <v>7.6</v>
      </c>
      <c r="AF11" s="352">
        <f t="shared" si="4"/>
        <v>8.5</v>
      </c>
      <c r="AG11" s="352">
        <f t="shared" si="5"/>
        <v>66</v>
      </c>
      <c r="AH11" s="10"/>
    </row>
    <row r="12" spans="1:34" ht="18" customHeight="1">
      <c r="A12" s="188">
        <v>20</v>
      </c>
      <c r="B12" s="758" t="s">
        <v>305</v>
      </c>
      <c r="C12" s="795"/>
      <c r="D12" s="795"/>
      <c r="E12" s="795"/>
      <c r="F12" s="795"/>
      <c r="G12" s="361" t="s">
        <v>323</v>
      </c>
      <c r="H12" s="355" t="s">
        <v>269</v>
      </c>
      <c r="I12" s="839"/>
      <c r="J12" s="840"/>
      <c r="K12" s="840"/>
      <c r="L12" s="840"/>
      <c r="M12" s="356"/>
      <c r="N12" s="357"/>
      <c r="O12" s="358"/>
      <c r="P12" s="359">
        <f>IF(I12="","",VLOOKUP(I12,AA3:AC18,3))</f>
      </c>
      <c r="Q12" s="360"/>
      <c r="R12" s="316"/>
      <c r="S12" s="10"/>
      <c r="T12" s="227">
        <f t="shared" si="2"/>
        <v>18.1</v>
      </c>
      <c r="U12" s="227">
        <f t="shared" si="1"/>
        <v>18.200000000000003</v>
      </c>
      <c r="V12" s="227">
        <f t="shared" si="1"/>
        <v>18.300000000000004</v>
      </c>
      <c r="W12" s="227">
        <f t="shared" si="1"/>
        <v>18.400000000000006</v>
      </c>
      <c r="X12" s="329">
        <f t="shared" si="1"/>
        <v>18.500000000000007</v>
      </c>
      <c r="Y12" s="227">
        <f t="shared" si="6"/>
        <v>59</v>
      </c>
      <c r="Z12" s="10"/>
      <c r="AA12" s="227">
        <v>91.25</v>
      </c>
      <c r="AB12" s="227">
        <f aca="true" t="shared" si="7" ref="AB12:AB17">AB11+0.5</f>
        <v>91.74</v>
      </c>
      <c r="AC12" s="227">
        <f aca="true" t="shared" si="8" ref="AC12:AC17">AC11-3</f>
        <v>17</v>
      </c>
      <c r="AD12" s="10"/>
      <c r="AE12" s="352">
        <f t="shared" si="3"/>
        <v>8.6</v>
      </c>
      <c r="AF12" s="352">
        <f t="shared" si="4"/>
        <v>9.5</v>
      </c>
      <c r="AG12" s="352">
        <f t="shared" si="5"/>
        <v>64</v>
      </c>
      <c r="AH12" s="10"/>
    </row>
    <row r="13" spans="1:34" ht="18" customHeight="1">
      <c r="A13" s="188">
        <v>80</v>
      </c>
      <c r="B13" s="758" t="s">
        <v>327</v>
      </c>
      <c r="C13" s="795"/>
      <c r="D13" s="795"/>
      <c r="E13" s="795"/>
      <c r="F13" s="795"/>
      <c r="G13" s="354">
        <v>0</v>
      </c>
      <c r="H13" s="355" t="s">
        <v>242</v>
      </c>
      <c r="I13" s="839"/>
      <c r="J13" s="840"/>
      <c r="K13" s="840"/>
      <c r="L13" s="840"/>
      <c r="M13" s="356"/>
      <c r="N13" s="357"/>
      <c r="O13" s="358"/>
      <c r="P13" s="359">
        <f>IF(I13="","",VLOOKUP(I13,AE3:AG44,3))</f>
      </c>
      <c r="Q13" s="360"/>
      <c r="R13" s="316"/>
      <c r="S13" s="10"/>
      <c r="T13" s="227">
        <f t="shared" si="2"/>
        <v>18.6</v>
      </c>
      <c r="U13" s="227">
        <f t="shared" si="1"/>
        <v>18.700000000000003</v>
      </c>
      <c r="V13" s="227">
        <f t="shared" si="1"/>
        <v>18.800000000000004</v>
      </c>
      <c r="W13" s="227">
        <f t="shared" si="1"/>
        <v>18.900000000000006</v>
      </c>
      <c r="X13" s="329">
        <f t="shared" si="1"/>
        <v>19.000000000000007</v>
      </c>
      <c r="Y13" s="227">
        <f t="shared" si="6"/>
        <v>58</v>
      </c>
      <c r="Z13" s="10"/>
      <c r="AA13" s="227">
        <f aca="true" t="shared" si="9" ref="AA13:AA18">AA12+0.5</f>
        <v>91.75</v>
      </c>
      <c r="AB13" s="227">
        <f t="shared" si="7"/>
        <v>92.24</v>
      </c>
      <c r="AC13" s="227">
        <f t="shared" si="8"/>
        <v>14</v>
      </c>
      <c r="AD13" s="10"/>
      <c r="AE13" s="352">
        <f t="shared" si="3"/>
        <v>9.6</v>
      </c>
      <c r="AF13" s="352">
        <f t="shared" si="4"/>
        <v>10.5</v>
      </c>
      <c r="AG13" s="352">
        <f t="shared" si="5"/>
        <v>62</v>
      </c>
      <c r="AH13" s="10"/>
    </row>
    <row r="14" spans="1:34" ht="18" customHeight="1">
      <c r="A14" s="190" t="s">
        <v>325</v>
      </c>
      <c r="B14" s="758" t="s">
        <v>328</v>
      </c>
      <c r="C14" s="795"/>
      <c r="D14" s="795"/>
      <c r="E14" s="795"/>
      <c r="F14" s="795"/>
      <c r="G14" s="760" t="s">
        <v>247</v>
      </c>
      <c r="H14" s="816"/>
      <c r="I14" s="362" t="s">
        <v>248</v>
      </c>
      <c r="J14" s="593"/>
      <c r="K14" s="362" t="s">
        <v>249</v>
      </c>
      <c r="L14" s="593"/>
      <c r="M14" s="356"/>
      <c r="N14" s="363">
        <f>IF(J14="i",-80,0)</f>
        <v>0</v>
      </c>
      <c r="O14" s="360"/>
      <c r="P14" s="357"/>
      <c r="Q14" s="358"/>
      <c r="R14" s="316"/>
      <c r="S14" s="10"/>
      <c r="T14" s="227">
        <f t="shared" si="2"/>
        <v>19.1</v>
      </c>
      <c r="U14" s="227">
        <f t="shared" si="1"/>
        <v>19.200000000000003</v>
      </c>
      <c r="V14" s="227">
        <f t="shared" si="1"/>
        <v>19.300000000000004</v>
      </c>
      <c r="W14" s="227">
        <f t="shared" si="1"/>
        <v>19.400000000000006</v>
      </c>
      <c r="X14" s="329">
        <f t="shared" si="1"/>
        <v>19.500000000000007</v>
      </c>
      <c r="Y14" s="227">
        <f t="shared" si="6"/>
        <v>58</v>
      </c>
      <c r="Z14" s="10"/>
      <c r="AA14" s="227">
        <f t="shared" si="9"/>
        <v>92.25</v>
      </c>
      <c r="AB14" s="227">
        <f t="shared" si="7"/>
        <v>92.74</v>
      </c>
      <c r="AC14" s="227">
        <f t="shared" si="8"/>
        <v>11</v>
      </c>
      <c r="AD14" s="10"/>
      <c r="AE14" s="352">
        <f t="shared" si="3"/>
        <v>10.6</v>
      </c>
      <c r="AF14" s="352">
        <f t="shared" si="4"/>
        <v>11.5</v>
      </c>
      <c r="AG14" s="352">
        <f t="shared" si="5"/>
        <v>60</v>
      </c>
      <c r="AH14" s="10"/>
    </row>
    <row r="15" spans="1:34" ht="18" customHeight="1">
      <c r="A15" s="188">
        <v>-20</v>
      </c>
      <c r="B15" s="758" t="s">
        <v>310</v>
      </c>
      <c r="C15" s="795"/>
      <c r="D15" s="795"/>
      <c r="E15" s="795"/>
      <c r="F15" s="795"/>
      <c r="G15" s="364">
        <v>0</v>
      </c>
      <c r="H15" s="355" t="s">
        <v>256</v>
      </c>
      <c r="I15" s="839"/>
      <c r="J15" s="840"/>
      <c r="K15" s="840"/>
      <c r="L15" s="840"/>
      <c r="M15" s="356"/>
      <c r="N15" s="363">
        <f>IF(I15="",0,(-20*I15))</f>
        <v>0</v>
      </c>
      <c r="O15" s="360"/>
      <c r="P15" s="357"/>
      <c r="Q15" s="358"/>
      <c r="R15" s="316"/>
      <c r="S15" s="10"/>
      <c r="T15" s="227">
        <f t="shared" si="2"/>
        <v>19.6</v>
      </c>
      <c r="U15" s="227">
        <f t="shared" si="1"/>
        <v>19.700000000000003</v>
      </c>
      <c r="V15" s="227">
        <f t="shared" si="1"/>
        <v>19.800000000000004</v>
      </c>
      <c r="W15" s="227">
        <f t="shared" si="1"/>
        <v>19.900000000000006</v>
      </c>
      <c r="X15" s="329">
        <f t="shared" si="1"/>
        <v>20.000000000000007</v>
      </c>
      <c r="Y15" s="227">
        <f t="shared" si="6"/>
        <v>57</v>
      </c>
      <c r="Z15" s="10"/>
      <c r="AA15" s="227">
        <f t="shared" si="9"/>
        <v>92.75</v>
      </c>
      <c r="AB15" s="227">
        <f t="shared" si="7"/>
        <v>93.24</v>
      </c>
      <c r="AC15" s="227">
        <f t="shared" si="8"/>
        <v>8</v>
      </c>
      <c r="AD15" s="10"/>
      <c r="AE15" s="352">
        <f t="shared" si="3"/>
        <v>11.6</v>
      </c>
      <c r="AF15" s="352">
        <f t="shared" si="4"/>
        <v>12.5</v>
      </c>
      <c r="AG15" s="352">
        <f t="shared" si="5"/>
        <v>58</v>
      </c>
      <c r="AH15" s="10"/>
    </row>
    <row r="16" spans="1:34" ht="18" customHeight="1">
      <c r="A16" s="188">
        <v>-50</v>
      </c>
      <c r="B16" s="758" t="s">
        <v>313</v>
      </c>
      <c r="C16" s="795"/>
      <c r="D16" s="795"/>
      <c r="E16" s="795"/>
      <c r="F16" s="795"/>
      <c r="G16" s="364">
        <v>0</v>
      </c>
      <c r="H16" s="355" t="s">
        <v>256</v>
      </c>
      <c r="I16" s="839"/>
      <c r="J16" s="840"/>
      <c r="K16" s="840"/>
      <c r="L16" s="840"/>
      <c r="M16" s="356"/>
      <c r="N16" s="363">
        <f>IF(I16="",0,(-50*I16))</f>
        <v>0</v>
      </c>
      <c r="O16" s="360"/>
      <c r="P16" s="357"/>
      <c r="Q16" s="358"/>
      <c r="R16" s="316"/>
      <c r="S16" s="10"/>
      <c r="T16" s="227">
        <f t="shared" si="2"/>
        <v>20.1</v>
      </c>
      <c r="U16" s="227">
        <f t="shared" si="1"/>
        <v>20.200000000000003</v>
      </c>
      <c r="V16" s="227">
        <f t="shared" si="1"/>
        <v>20.300000000000004</v>
      </c>
      <c r="W16" s="227">
        <f t="shared" si="1"/>
        <v>20.400000000000006</v>
      </c>
      <c r="X16" s="329">
        <f t="shared" si="1"/>
        <v>20.500000000000007</v>
      </c>
      <c r="Y16" s="227">
        <f t="shared" si="6"/>
        <v>57</v>
      </c>
      <c r="Z16" s="10"/>
      <c r="AA16" s="227">
        <f t="shared" si="9"/>
        <v>93.25</v>
      </c>
      <c r="AB16" s="227">
        <f t="shared" si="7"/>
        <v>93.74</v>
      </c>
      <c r="AC16" s="227">
        <f t="shared" si="8"/>
        <v>5</v>
      </c>
      <c r="AD16" s="10"/>
      <c r="AE16" s="352">
        <f t="shared" si="3"/>
        <v>12.6</v>
      </c>
      <c r="AF16" s="352">
        <f t="shared" si="4"/>
        <v>13.5</v>
      </c>
      <c r="AG16" s="352">
        <f t="shared" si="5"/>
        <v>56</v>
      </c>
      <c r="AH16" s="10"/>
    </row>
    <row r="17" spans="1:34" ht="18" customHeight="1">
      <c r="A17" s="188">
        <v>-50</v>
      </c>
      <c r="B17" s="758" t="s">
        <v>252</v>
      </c>
      <c r="C17" s="795"/>
      <c r="D17" s="795"/>
      <c r="E17" s="795"/>
      <c r="F17" s="795"/>
      <c r="G17" s="760" t="s">
        <v>247</v>
      </c>
      <c r="H17" s="816"/>
      <c r="I17" s="362" t="s">
        <v>248</v>
      </c>
      <c r="J17" s="593"/>
      <c r="K17" s="362" t="s">
        <v>249</v>
      </c>
      <c r="L17" s="593"/>
      <c r="M17" s="356"/>
      <c r="N17" s="363">
        <f>IF(J17="i",-50,0)</f>
        <v>0</v>
      </c>
      <c r="O17" s="360"/>
      <c r="P17" s="357"/>
      <c r="Q17" s="358"/>
      <c r="R17" s="316"/>
      <c r="S17" s="10"/>
      <c r="T17" s="227">
        <f t="shared" si="2"/>
        <v>20.6</v>
      </c>
      <c r="U17" s="227">
        <f t="shared" si="1"/>
        <v>20.700000000000003</v>
      </c>
      <c r="V17" s="227">
        <f t="shared" si="1"/>
        <v>20.800000000000004</v>
      </c>
      <c r="W17" s="227">
        <f t="shared" si="1"/>
        <v>20.900000000000006</v>
      </c>
      <c r="X17" s="329">
        <f t="shared" si="1"/>
        <v>21.000000000000007</v>
      </c>
      <c r="Y17" s="227">
        <f t="shared" si="6"/>
        <v>56</v>
      </c>
      <c r="Z17" s="10"/>
      <c r="AA17" s="227">
        <f t="shared" si="9"/>
        <v>93.75</v>
      </c>
      <c r="AB17" s="227">
        <f t="shared" si="7"/>
        <v>94.24</v>
      </c>
      <c r="AC17" s="227">
        <f t="shared" si="8"/>
        <v>2</v>
      </c>
      <c r="AD17" s="10"/>
      <c r="AE17" s="352">
        <f t="shared" si="3"/>
        <v>13.6</v>
      </c>
      <c r="AF17" s="352">
        <f t="shared" si="4"/>
        <v>14.5</v>
      </c>
      <c r="AG17" s="352">
        <f t="shared" si="5"/>
        <v>54</v>
      </c>
      <c r="AH17" s="10"/>
    </row>
    <row r="18" spans="1:34" ht="18" customHeight="1">
      <c r="A18" s="188">
        <v>-30</v>
      </c>
      <c r="B18" s="758" t="s">
        <v>253</v>
      </c>
      <c r="C18" s="795"/>
      <c r="D18" s="795"/>
      <c r="E18" s="795"/>
      <c r="F18" s="795"/>
      <c r="G18" s="760" t="s">
        <v>254</v>
      </c>
      <c r="H18" s="816"/>
      <c r="I18" s="362" t="s">
        <v>248</v>
      </c>
      <c r="J18" s="593"/>
      <c r="K18" s="362" t="s">
        <v>249</v>
      </c>
      <c r="L18" s="593"/>
      <c r="M18" s="356"/>
      <c r="N18" s="363">
        <f>IF(J18="i",-30,0)</f>
        <v>0</v>
      </c>
      <c r="O18" s="360"/>
      <c r="P18" s="357"/>
      <c r="Q18" s="358"/>
      <c r="R18" s="316"/>
      <c r="S18" s="10"/>
      <c r="T18" s="227">
        <f t="shared" si="2"/>
        <v>21.1</v>
      </c>
      <c r="U18" s="227">
        <f t="shared" si="1"/>
        <v>21.200000000000003</v>
      </c>
      <c r="V18" s="227">
        <f t="shared" si="1"/>
        <v>21.300000000000004</v>
      </c>
      <c r="W18" s="227">
        <f t="shared" si="1"/>
        <v>21.400000000000006</v>
      </c>
      <c r="X18" s="329">
        <f t="shared" si="1"/>
        <v>21.500000000000007</v>
      </c>
      <c r="Y18" s="227">
        <f t="shared" si="6"/>
        <v>56</v>
      </c>
      <c r="Z18" s="10"/>
      <c r="AA18" s="227">
        <f t="shared" si="9"/>
        <v>94.25</v>
      </c>
      <c r="AB18" s="227"/>
      <c r="AC18" s="227">
        <v>0</v>
      </c>
      <c r="AD18" s="10"/>
      <c r="AE18" s="352">
        <f t="shared" si="3"/>
        <v>14.6</v>
      </c>
      <c r="AF18" s="352">
        <f t="shared" si="4"/>
        <v>15.5</v>
      </c>
      <c r="AG18" s="352">
        <f t="shared" si="5"/>
        <v>52</v>
      </c>
      <c r="AH18" s="10"/>
    </row>
    <row r="19" spans="1:34" ht="18" customHeight="1">
      <c r="A19" s="195">
        <v>-30</v>
      </c>
      <c r="B19" s="767" t="s">
        <v>255</v>
      </c>
      <c r="C19" s="830"/>
      <c r="D19" s="830"/>
      <c r="E19" s="830"/>
      <c r="F19" s="830"/>
      <c r="G19" s="365">
        <v>0</v>
      </c>
      <c r="H19" s="366" t="s">
        <v>256</v>
      </c>
      <c r="I19" s="839"/>
      <c r="J19" s="840"/>
      <c r="K19" s="840"/>
      <c r="L19" s="840"/>
      <c r="M19" s="367"/>
      <c r="N19" s="363">
        <f>IF(I19="",0,(-30*I19))</f>
        <v>0</v>
      </c>
      <c r="O19" s="360"/>
      <c r="P19" s="357"/>
      <c r="Q19" s="358"/>
      <c r="R19" s="328"/>
      <c r="S19" s="10"/>
      <c r="T19" s="227">
        <f t="shared" si="2"/>
        <v>21.6</v>
      </c>
      <c r="U19" s="227">
        <f t="shared" si="1"/>
        <v>21.700000000000003</v>
      </c>
      <c r="V19" s="227">
        <f t="shared" si="1"/>
        <v>21.800000000000004</v>
      </c>
      <c r="W19" s="227">
        <f t="shared" si="1"/>
        <v>21.900000000000006</v>
      </c>
      <c r="X19" s="329">
        <f t="shared" si="1"/>
        <v>22.000000000000007</v>
      </c>
      <c r="Y19" s="227">
        <f t="shared" si="6"/>
        <v>55</v>
      </c>
      <c r="Z19" s="302"/>
      <c r="AA19" s="227"/>
      <c r="AB19" s="227"/>
      <c r="AC19" s="300"/>
      <c r="AD19" s="302"/>
      <c r="AE19" s="347">
        <f t="shared" si="3"/>
        <v>15.6</v>
      </c>
      <c r="AF19" s="347">
        <f t="shared" si="4"/>
        <v>16.5</v>
      </c>
      <c r="AG19" s="347">
        <f t="shared" si="5"/>
        <v>50</v>
      </c>
      <c r="AH19" s="10"/>
    </row>
    <row r="20" spans="1:34" ht="18" customHeight="1">
      <c r="A20" s="188">
        <v>-20</v>
      </c>
      <c r="B20" s="758" t="s">
        <v>257</v>
      </c>
      <c r="C20" s="795"/>
      <c r="D20" s="795"/>
      <c r="E20" s="795"/>
      <c r="F20" s="795"/>
      <c r="G20" s="760" t="s">
        <v>247</v>
      </c>
      <c r="H20" s="816"/>
      <c r="I20" s="362" t="s">
        <v>248</v>
      </c>
      <c r="J20" s="593"/>
      <c r="K20" s="362" t="s">
        <v>249</v>
      </c>
      <c r="L20" s="593"/>
      <c r="M20" s="356"/>
      <c r="N20" s="363">
        <f>IF(J20="i",-20,0)</f>
        <v>0</v>
      </c>
      <c r="O20" s="360"/>
      <c r="P20" s="357"/>
      <c r="Q20" s="358"/>
      <c r="R20" s="316"/>
      <c r="S20" s="10"/>
      <c r="T20" s="227">
        <f t="shared" si="2"/>
        <v>22.1</v>
      </c>
      <c r="U20" s="227">
        <f t="shared" si="1"/>
        <v>22.200000000000003</v>
      </c>
      <c r="V20" s="227">
        <f t="shared" si="1"/>
        <v>22.300000000000004</v>
      </c>
      <c r="W20" s="227">
        <f t="shared" si="1"/>
        <v>22.400000000000006</v>
      </c>
      <c r="X20" s="329">
        <f t="shared" si="1"/>
        <v>22.500000000000007</v>
      </c>
      <c r="Y20" s="227">
        <f t="shared" si="6"/>
        <v>55</v>
      </c>
      <c r="Z20" s="323"/>
      <c r="AA20" s="227"/>
      <c r="AB20" s="227"/>
      <c r="AC20" s="300"/>
      <c r="AD20" s="10"/>
      <c r="AE20" s="352">
        <f t="shared" si="3"/>
        <v>16.6</v>
      </c>
      <c r="AF20" s="352">
        <f t="shared" si="4"/>
        <v>17.5</v>
      </c>
      <c r="AG20" s="352">
        <f t="shared" si="5"/>
        <v>48</v>
      </c>
      <c r="AH20" s="10"/>
    </row>
    <row r="21" spans="1:34" ht="18" customHeight="1">
      <c r="A21" s="188">
        <v>-50</v>
      </c>
      <c r="B21" s="758" t="s">
        <v>329</v>
      </c>
      <c r="C21" s="795"/>
      <c r="D21" s="795"/>
      <c r="E21" s="795"/>
      <c r="F21" s="795"/>
      <c r="G21" s="364">
        <v>0</v>
      </c>
      <c r="H21" s="355" t="s">
        <v>256</v>
      </c>
      <c r="I21" s="839"/>
      <c r="J21" s="840"/>
      <c r="K21" s="854"/>
      <c r="L21" s="840"/>
      <c r="M21" s="356"/>
      <c r="N21" s="363">
        <f>IF(I21="",0,(-50*I21))</f>
        <v>0</v>
      </c>
      <c r="O21" s="360"/>
      <c r="P21" s="357"/>
      <c r="Q21" s="358"/>
      <c r="R21" s="316"/>
      <c r="S21" s="10"/>
      <c r="T21" s="227">
        <f t="shared" si="2"/>
        <v>22.6</v>
      </c>
      <c r="U21" s="227">
        <f t="shared" si="1"/>
        <v>22.700000000000003</v>
      </c>
      <c r="V21" s="227">
        <f t="shared" si="1"/>
        <v>22.800000000000004</v>
      </c>
      <c r="W21" s="227">
        <f t="shared" si="1"/>
        <v>22.900000000000006</v>
      </c>
      <c r="X21" s="329">
        <f t="shared" si="1"/>
        <v>23.000000000000007</v>
      </c>
      <c r="Y21" s="227">
        <f t="shared" si="6"/>
        <v>54</v>
      </c>
      <c r="Z21" s="10"/>
      <c r="AA21" s="227"/>
      <c r="AB21" s="227"/>
      <c r="AC21" s="227"/>
      <c r="AD21" s="10"/>
      <c r="AE21" s="352">
        <f t="shared" si="3"/>
        <v>17.6</v>
      </c>
      <c r="AF21" s="352">
        <f t="shared" si="4"/>
        <v>18.5</v>
      </c>
      <c r="AG21" s="352">
        <f t="shared" si="5"/>
        <v>46</v>
      </c>
      <c r="AH21" s="10"/>
    </row>
    <row r="22" spans="1:34" ht="18" customHeight="1">
      <c r="A22" s="188">
        <v>0</v>
      </c>
      <c r="B22" s="758" t="s">
        <v>330</v>
      </c>
      <c r="C22" s="795"/>
      <c r="D22" s="795"/>
      <c r="E22" s="795"/>
      <c r="F22" s="795"/>
      <c r="G22" s="760" t="s">
        <v>247</v>
      </c>
      <c r="H22" s="816"/>
      <c r="I22" s="362" t="s">
        <v>248</v>
      </c>
      <c r="J22" s="594"/>
      <c r="K22" s="362" t="s">
        <v>249</v>
      </c>
      <c r="L22" s="593"/>
      <c r="M22" s="356"/>
      <c r="N22" s="743">
        <f>IF(J22="i",-1000,0)</f>
        <v>0</v>
      </c>
      <c r="O22" s="754"/>
      <c r="P22" s="357"/>
      <c r="Q22" s="358"/>
      <c r="R22" s="316"/>
      <c r="S22" s="10"/>
      <c r="T22" s="227">
        <f t="shared" si="2"/>
        <v>23.1</v>
      </c>
      <c r="U22" s="227">
        <f t="shared" si="1"/>
        <v>23.200000000000003</v>
      </c>
      <c r="V22" s="227">
        <f t="shared" si="1"/>
        <v>23.300000000000004</v>
      </c>
      <c r="W22" s="227">
        <f t="shared" si="1"/>
        <v>23.400000000000006</v>
      </c>
      <c r="X22" s="329">
        <f t="shared" si="1"/>
        <v>23.500000000000007</v>
      </c>
      <c r="Y22" s="227">
        <f t="shared" si="6"/>
        <v>54</v>
      </c>
      <c r="Z22" s="323"/>
      <c r="AA22" s="227"/>
      <c r="AB22" s="227"/>
      <c r="AC22" s="227"/>
      <c r="AD22" s="10"/>
      <c r="AE22" s="352">
        <f t="shared" si="3"/>
        <v>18.6</v>
      </c>
      <c r="AF22" s="352">
        <f t="shared" si="4"/>
        <v>19.5</v>
      </c>
      <c r="AG22" s="352">
        <f t="shared" si="5"/>
        <v>44</v>
      </c>
      <c r="AH22" s="10"/>
    </row>
    <row r="23" spans="1:34" ht="18" customHeight="1">
      <c r="A23" s="195">
        <v>-20</v>
      </c>
      <c r="B23" s="767" t="s">
        <v>260</v>
      </c>
      <c r="C23" s="830"/>
      <c r="D23" s="830"/>
      <c r="E23" s="830"/>
      <c r="F23" s="830"/>
      <c r="G23" s="368">
        <v>0</v>
      </c>
      <c r="H23" s="355" t="s">
        <v>256</v>
      </c>
      <c r="I23" s="839"/>
      <c r="J23" s="840"/>
      <c r="K23" s="840"/>
      <c r="L23" s="840"/>
      <c r="M23" s="367"/>
      <c r="N23" s="363">
        <f>IF(I23="",0,(-20*I23))</f>
        <v>0</v>
      </c>
      <c r="O23" s="360"/>
      <c r="P23" s="357"/>
      <c r="Q23" s="358"/>
      <c r="R23" s="328"/>
      <c r="S23" s="10"/>
      <c r="T23" s="227">
        <f t="shared" si="2"/>
        <v>23.6</v>
      </c>
      <c r="U23" s="227">
        <f t="shared" si="1"/>
        <v>23.700000000000003</v>
      </c>
      <c r="V23" s="227">
        <f t="shared" si="1"/>
        <v>23.800000000000004</v>
      </c>
      <c r="W23" s="227">
        <f t="shared" si="1"/>
        <v>23.900000000000006</v>
      </c>
      <c r="X23" s="329">
        <f t="shared" si="1"/>
        <v>24.000000000000007</v>
      </c>
      <c r="Y23" s="227">
        <f t="shared" si="6"/>
        <v>53</v>
      </c>
      <c r="Z23" s="302"/>
      <c r="AA23" s="227"/>
      <c r="AB23" s="227"/>
      <c r="AC23" s="227"/>
      <c r="AD23" s="302"/>
      <c r="AE23" s="347">
        <f t="shared" si="3"/>
        <v>19.6</v>
      </c>
      <c r="AF23" s="347">
        <f t="shared" si="4"/>
        <v>20.5</v>
      </c>
      <c r="AG23" s="347">
        <f t="shared" si="5"/>
        <v>42</v>
      </c>
      <c r="AH23" s="10"/>
    </row>
    <row r="24" spans="1:34" ht="18" customHeight="1">
      <c r="A24" s="188">
        <v>-50</v>
      </c>
      <c r="B24" s="758" t="s">
        <v>261</v>
      </c>
      <c r="C24" s="815"/>
      <c r="D24" s="815"/>
      <c r="E24" s="815"/>
      <c r="F24" s="815"/>
      <c r="G24" s="364">
        <v>0</v>
      </c>
      <c r="H24" s="355" t="s">
        <v>256</v>
      </c>
      <c r="I24" s="839"/>
      <c r="J24" s="840"/>
      <c r="K24" s="840"/>
      <c r="L24" s="840"/>
      <c r="M24" s="356"/>
      <c r="N24" s="363">
        <f>IF(I24="",0,(-50*I24))</f>
        <v>0</v>
      </c>
      <c r="O24" s="360"/>
      <c r="P24" s="357"/>
      <c r="Q24" s="358"/>
      <c r="R24" s="316"/>
      <c r="S24" s="10"/>
      <c r="T24" s="227">
        <f t="shared" si="2"/>
        <v>24.1</v>
      </c>
      <c r="U24" s="227">
        <f t="shared" si="1"/>
        <v>24.200000000000003</v>
      </c>
      <c r="V24" s="227">
        <f t="shared" si="1"/>
        <v>24.300000000000004</v>
      </c>
      <c r="W24" s="227">
        <f t="shared" si="1"/>
        <v>24.400000000000006</v>
      </c>
      <c r="X24" s="329">
        <f t="shared" si="1"/>
        <v>24.500000000000007</v>
      </c>
      <c r="Y24" s="227">
        <f t="shared" si="6"/>
        <v>53</v>
      </c>
      <c r="Z24" s="10"/>
      <c r="AA24" s="227"/>
      <c r="AB24" s="227"/>
      <c r="AC24" s="227"/>
      <c r="AD24" s="10"/>
      <c r="AE24" s="352">
        <f t="shared" si="3"/>
        <v>20.6</v>
      </c>
      <c r="AF24" s="352">
        <f t="shared" si="4"/>
        <v>21.5</v>
      </c>
      <c r="AG24" s="352">
        <f t="shared" si="5"/>
        <v>40</v>
      </c>
      <c r="AH24" s="10"/>
    </row>
    <row r="25" spans="1:34" ht="18" customHeight="1">
      <c r="A25" s="188">
        <v>-20</v>
      </c>
      <c r="B25" s="758" t="s">
        <v>262</v>
      </c>
      <c r="C25" s="795"/>
      <c r="D25" s="795"/>
      <c r="E25" s="795"/>
      <c r="F25" s="795"/>
      <c r="G25" s="364">
        <v>0</v>
      </c>
      <c r="H25" s="355" t="s">
        <v>256</v>
      </c>
      <c r="I25" s="839"/>
      <c r="J25" s="840"/>
      <c r="K25" s="840"/>
      <c r="L25" s="840"/>
      <c r="M25" s="356"/>
      <c r="N25" s="363">
        <f>IF(I25="",0,(-20*I25))</f>
        <v>0</v>
      </c>
      <c r="O25" s="360"/>
      <c r="P25" s="357"/>
      <c r="Q25" s="358"/>
      <c r="R25" s="316"/>
      <c r="S25" s="10"/>
      <c r="T25" s="227">
        <f t="shared" si="2"/>
        <v>24.6</v>
      </c>
      <c r="U25" s="227">
        <f t="shared" si="1"/>
        <v>24.700000000000003</v>
      </c>
      <c r="V25" s="227">
        <f t="shared" si="1"/>
        <v>24.800000000000004</v>
      </c>
      <c r="W25" s="227">
        <f t="shared" si="1"/>
        <v>24.900000000000006</v>
      </c>
      <c r="X25" s="329">
        <f t="shared" si="1"/>
        <v>25.000000000000007</v>
      </c>
      <c r="Y25" s="227">
        <f t="shared" si="6"/>
        <v>52</v>
      </c>
      <c r="Z25" s="10"/>
      <c r="AA25" s="227"/>
      <c r="AB25" s="227"/>
      <c r="AC25" s="227"/>
      <c r="AD25" s="10"/>
      <c r="AE25" s="230">
        <f t="shared" si="3"/>
        <v>21.6</v>
      </c>
      <c r="AF25" s="230">
        <f t="shared" si="4"/>
        <v>22.5</v>
      </c>
      <c r="AG25" s="230">
        <f t="shared" si="5"/>
        <v>38</v>
      </c>
      <c r="AH25" s="10"/>
    </row>
    <row r="26" spans="1:34" ht="18" customHeight="1">
      <c r="A26" s="188">
        <v>-20</v>
      </c>
      <c r="B26" s="758" t="s">
        <v>263</v>
      </c>
      <c r="C26" s="795"/>
      <c r="D26" s="795"/>
      <c r="E26" s="795"/>
      <c r="F26" s="795"/>
      <c r="G26" s="364">
        <v>0</v>
      </c>
      <c r="H26" s="355" t="s">
        <v>256</v>
      </c>
      <c r="I26" s="839"/>
      <c r="J26" s="840"/>
      <c r="K26" s="840"/>
      <c r="L26" s="840"/>
      <c r="M26" s="356"/>
      <c r="N26" s="363">
        <f>IF(I26="",0,(-20*I26))</f>
        <v>0</v>
      </c>
      <c r="O26" s="360"/>
      <c r="P26" s="357"/>
      <c r="Q26" s="358"/>
      <c r="R26" s="316"/>
      <c r="S26" s="10"/>
      <c r="T26" s="227">
        <f t="shared" si="2"/>
        <v>25.1</v>
      </c>
      <c r="U26" s="227">
        <f t="shared" si="1"/>
        <v>25.200000000000003</v>
      </c>
      <c r="V26" s="227">
        <f t="shared" si="1"/>
        <v>25.300000000000004</v>
      </c>
      <c r="W26" s="227">
        <f t="shared" si="1"/>
        <v>25.400000000000006</v>
      </c>
      <c r="X26" s="329">
        <f t="shared" si="1"/>
        <v>25.500000000000007</v>
      </c>
      <c r="Y26" s="227">
        <f t="shared" si="6"/>
        <v>52</v>
      </c>
      <c r="Z26" s="10"/>
      <c r="AA26" s="227"/>
      <c r="AB26" s="227"/>
      <c r="AC26" s="227"/>
      <c r="AD26" s="10"/>
      <c r="AE26" s="230">
        <f t="shared" si="3"/>
        <v>22.6</v>
      </c>
      <c r="AF26" s="230">
        <f t="shared" si="4"/>
        <v>23.5</v>
      </c>
      <c r="AG26" s="230">
        <f t="shared" si="5"/>
        <v>36</v>
      </c>
      <c r="AH26" s="10"/>
    </row>
    <row r="27" spans="1:34" ht="18" customHeight="1">
      <c r="A27" s="188">
        <v>-20</v>
      </c>
      <c r="B27" s="758" t="s">
        <v>264</v>
      </c>
      <c r="C27" s="795"/>
      <c r="D27" s="795"/>
      <c r="E27" s="795"/>
      <c r="F27" s="795"/>
      <c r="G27" s="364">
        <v>0</v>
      </c>
      <c r="H27" s="355" t="s">
        <v>256</v>
      </c>
      <c r="I27" s="839"/>
      <c r="J27" s="840"/>
      <c r="K27" s="854"/>
      <c r="L27" s="840"/>
      <c r="M27" s="356"/>
      <c r="N27" s="363">
        <f>IF(I27="",0,(-20*I27))</f>
        <v>0</v>
      </c>
      <c r="O27" s="360"/>
      <c r="P27" s="357"/>
      <c r="Q27" s="358"/>
      <c r="R27" s="316"/>
      <c r="S27" s="10"/>
      <c r="T27" s="227">
        <f t="shared" si="2"/>
        <v>25.6</v>
      </c>
      <c r="U27" s="227">
        <f t="shared" si="1"/>
        <v>25.700000000000003</v>
      </c>
      <c r="V27" s="227">
        <f t="shared" si="1"/>
        <v>25.800000000000004</v>
      </c>
      <c r="W27" s="227">
        <f t="shared" si="1"/>
        <v>25.900000000000006</v>
      </c>
      <c r="X27" s="329">
        <f t="shared" si="1"/>
        <v>26.000000000000007</v>
      </c>
      <c r="Y27" s="227">
        <f t="shared" si="6"/>
        <v>51</v>
      </c>
      <c r="Z27" s="10"/>
      <c r="AA27" s="227"/>
      <c r="AB27" s="227"/>
      <c r="AC27" s="227"/>
      <c r="AD27" s="10"/>
      <c r="AE27" s="230">
        <f t="shared" si="3"/>
        <v>23.6</v>
      </c>
      <c r="AF27" s="230">
        <f t="shared" si="4"/>
        <v>24.5</v>
      </c>
      <c r="AG27" s="230">
        <f t="shared" si="5"/>
        <v>34</v>
      </c>
      <c r="AH27" s="10"/>
    </row>
    <row r="28" spans="1:34" ht="18" customHeight="1">
      <c r="A28" s="188">
        <v>-50</v>
      </c>
      <c r="B28" s="758" t="s">
        <v>265</v>
      </c>
      <c r="C28" s="795"/>
      <c r="D28" s="795"/>
      <c r="E28" s="795"/>
      <c r="F28" s="795"/>
      <c r="G28" s="364">
        <v>0</v>
      </c>
      <c r="H28" s="355" t="s">
        <v>256</v>
      </c>
      <c r="I28" s="839"/>
      <c r="J28" s="840"/>
      <c r="K28" s="840"/>
      <c r="L28" s="840"/>
      <c r="M28" s="356"/>
      <c r="N28" s="363">
        <f>IF(I28="",0,(-50*I28))</f>
        <v>0</v>
      </c>
      <c r="O28" s="360"/>
      <c r="P28" s="357"/>
      <c r="Q28" s="358"/>
      <c r="R28" s="316"/>
      <c r="S28" s="10"/>
      <c r="T28" s="227">
        <f t="shared" si="2"/>
        <v>26.1</v>
      </c>
      <c r="U28" s="227">
        <f aca="true" t="shared" si="10" ref="U28:X47">T28+0.1</f>
        <v>26.200000000000003</v>
      </c>
      <c r="V28" s="227">
        <f t="shared" si="10"/>
        <v>26.300000000000004</v>
      </c>
      <c r="W28" s="227">
        <f t="shared" si="10"/>
        <v>26.400000000000006</v>
      </c>
      <c r="X28" s="329">
        <f t="shared" si="10"/>
        <v>26.500000000000007</v>
      </c>
      <c r="Y28" s="227">
        <f t="shared" si="6"/>
        <v>51</v>
      </c>
      <c r="Z28" s="10"/>
      <c r="AA28" s="227"/>
      <c r="AB28" s="227"/>
      <c r="AC28" s="227"/>
      <c r="AD28" s="10"/>
      <c r="AE28" s="230">
        <f t="shared" si="3"/>
        <v>24.6</v>
      </c>
      <c r="AF28" s="230">
        <f t="shared" si="4"/>
        <v>25.5</v>
      </c>
      <c r="AG28" s="230">
        <f t="shared" si="5"/>
        <v>32</v>
      </c>
      <c r="AH28" s="10"/>
    </row>
    <row r="29" spans="1:34" ht="18" customHeight="1">
      <c r="A29" s="190" t="s">
        <v>314</v>
      </c>
      <c r="B29" s="758" t="s">
        <v>315</v>
      </c>
      <c r="C29" s="795"/>
      <c r="D29" s="795"/>
      <c r="E29" s="795"/>
      <c r="F29" s="795"/>
      <c r="G29" s="760" t="s">
        <v>247</v>
      </c>
      <c r="H29" s="853"/>
      <c r="I29" s="362" t="s">
        <v>248</v>
      </c>
      <c r="J29" s="594"/>
      <c r="K29" s="362" t="s">
        <v>249</v>
      </c>
      <c r="L29" s="594"/>
      <c r="M29" s="356"/>
      <c r="N29" s="369">
        <f>IF(J29="",0,IF(J29="i","szerelés nulla",0))</f>
        <v>0</v>
      </c>
      <c r="O29" s="360"/>
      <c r="P29" s="357"/>
      <c r="Q29" s="358"/>
      <c r="R29" s="316"/>
      <c r="S29" s="10"/>
      <c r="T29" s="227">
        <f t="shared" si="2"/>
        <v>26.6</v>
      </c>
      <c r="U29" s="227">
        <f t="shared" si="10"/>
        <v>26.700000000000003</v>
      </c>
      <c r="V29" s="227">
        <f t="shared" si="10"/>
        <v>26.800000000000004</v>
      </c>
      <c r="W29" s="227">
        <f t="shared" si="10"/>
        <v>26.900000000000006</v>
      </c>
      <c r="X29" s="329">
        <f t="shared" si="10"/>
        <v>27.000000000000007</v>
      </c>
      <c r="Y29" s="227">
        <f t="shared" si="6"/>
        <v>50</v>
      </c>
      <c r="Z29" s="10"/>
      <c r="AA29" s="227"/>
      <c r="AB29" s="227"/>
      <c r="AC29" s="227"/>
      <c r="AD29" s="10"/>
      <c r="AE29" s="230">
        <f t="shared" si="3"/>
        <v>25.6</v>
      </c>
      <c r="AF29" s="230">
        <f t="shared" si="4"/>
        <v>26.5</v>
      </c>
      <c r="AG29" s="230">
        <f t="shared" si="5"/>
        <v>30</v>
      </c>
      <c r="AH29" s="10"/>
    </row>
    <row r="30" spans="1:34" ht="18" customHeight="1">
      <c r="A30" s="190"/>
      <c r="B30" s="349"/>
      <c r="C30" s="350"/>
      <c r="D30" s="350"/>
      <c r="E30" s="350"/>
      <c r="F30" s="350"/>
      <c r="G30" s="370"/>
      <c r="H30" s="355"/>
      <c r="I30" s="872" t="s">
        <v>266</v>
      </c>
      <c r="J30" s="873"/>
      <c r="K30" s="873"/>
      <c r="L30" s="874"/>
      <c r="M30" s="356"/>
      <c r="N30" s="867">
        <f>SUM(N14:O29)+N11</f>
        <v>0</v>
      </c>
      <c r="O30" s="752"/>
      <c r="P30" s="867">
        <f>SUM(P8:P13)</f>
        <v>0</v>
      </c>
      <c r="Q30" s="752"/>
      <c r="R30" s="316"/>
      <c r="S30" s="10"/>
      <c r="T30" s="227">
        <f t="shared" si="2"/>
        <v>27.1</v>
      </c>
      <c r="U30" s="227">
        <f t="shared" si="10"/>
        <v>27.200000000000003</v>
      </c>
      <c r="V30" s="227">
        <f t="shared" si="10"/>
        <v>27.300000000000004</v>
      </c>
      <c r="W30" s="227">
        <f t="shared" si="10"/>
        <v>27.400000000000006</v>
      </c>
      <c r="X30" s="329">
        <f t="shared" si="10"/>
        <v>27.500000000000007</v>
      </c>
      <c r="Y30" s="227">
        <f t="shared" si="6"/>
        <v>50</v>
      </c>
      <c r="Z30" s="10"/>
      <c r="AA30" s="227"/>
      <c r="AB30" s="227"/>
      <c r="AC30" s="227"/>
      <c r="AD30" s="10"/>
      <c r="AE30" s="230">
        <f t="shared" si="3"/>
        <v>26.6</v>
      </c>
      <c r="AF30" s="230">
        <f t="shared" si="4"/>
        <v>27.5</v>
      </c>
      <c r="AG30" s="230">
        <f t="shared" si="5"/>
        <v>28</v>
      </c>
      <c r="AH30" s="10"/>
    </row>
    <row r="31" spans="1:34" ht="18" customHeight="1">
      <c r="A31" s="348" t="s">
        <v>331</v>
      </c>
      <c r="B31" s="349"/>
      <c r="C31" s="350"/>
      <c r="D31" s="350"/>
      <c r="E31" s="350"/>
      <c r="F31" s="350"/>
      <c r="G31" s="370"/>
      <c r="H31" s="355"/>
      <c r="I31" s="864" t="s">
        <v>267</v>
      </c>
      <c r="J31" s="865"/>
      <c r="K31" s="865"/>
      <c r="L31" s="866"/>
      <c r="M31" s="356"/>
      <c r="N31" s="808">
        <f>P30+N30</f>
        <v>0</v>
      </c>
      <c r="O31" s="831"/>
      <c r="P31" s="831"/>
      <c r="Q31" s="831"/>
      <c r="R31" s="316"/>
      <c r="S31" s="10"/>
      <c r="T31" s="227">
        <f t="shared" si="2"/>
        <v>27.6</v>
      </c>
      <c r="U31" s="227">
        <f t="shared" si="10"/>
        <v>27.700000000000003</v>
      </c>
      <c r="V31" s="227">
        <f t="shared" si="10"/>
        <v>27.800000000000004</v>
      </c>
      <c r="W31" s="227">
        <f t="shared" si="10"/>
        <v>27.900000000000006</v>
      </c>
      <c r="X31" s="329">
        <f t="shared" si="10"/>
        <v>28.000000000000007</v>
      </c>
      <c r="Y31" s="227">
        <f t="shared" si="6"/>
        <v>49</v>
      </c>
      <c r="Z31" s="10"/>
      <c r="AA31" s="227"/>
      <c r="AB31" s="227"/>
      <c r="AC31" s="227"/>
      <c r="AD31" s="10"/>
      <c r="AE31" s="230">
        <f t="shared" si="3"/>
        <v>27.6</v>
      </c>
      <c r="AF31" s="230">
        <f t="shared" si="4"/>
        <v>28.5</v>
      </c>
      <c r="AG31" s="230">
        <f t="shared" si="5"/>
        <v>26</v>
      </c>
      <c r="AH31" s="10"/>
    </row>
    <row r="32" spans="1:34" ht="12.75" customHeight="1">
      <c r="A32" s="338" t="s">
        <v>317</v>
      </c>
      <c r="B32" s="220"/>
      <c r="C32" s="277"/>
      <c r="D32" s="277"/>
      <c r="E32" s="277"/>
      <c r="F32" s="277"/>
      <c r="G32" s="221"/>
      <c r="H32" s="222"/>
      <c r="I32" s="339"/>
      <c r="J32" s="339"/>
      <c r="K32" s="339"/>
      <c r="L32" s="339"/>
      <c r="M32" s="339"/>
      <c r="N32" s="339"/>
      <c r="O32" s="224"/>
      <c r="P32" s="224"/>
      <c r="Q32" s="224"/>
      <c r="R32" s="10"/>
      <c r="S32" s="10"/>
      <c r="T32" s="227">
        <f t="shared" si="2"/>
        <v>28.1</v>
      </c>
      <c r="U32" s="227">
        <f t="shared" si="10"/>
        <v>28.200000000000003</v>
      </c>
      <c r="V32" s="227">
        <f t="shared" si="10"/>
        <v>28.300000000000004</v>
      </c>
      <c r="W32" s="227">
        <f t="shared" si="10"/>
        <v>28.400000000000006</v>
      </c>
      <c r="X32" s="329">
        <f t="shared" si="10"/>
        <v>28.500000000000007</v>
      </c>
      <c r="Y32" s="227">
        <f t="shared" si="6"/>
        <v>49</v>
      </c>
      <c r="Z32" s="10"/>
      <c r="AA32" s="227"/>
      <c r="AB32" s="227"/>
      <c r="AC32" s="227"/>
      <c r="AD32" s="10"/>
      <c r="AE32" s="230">
        <f t="shared" si="3"/>
        <v>28.6</v>
      </c>
      <c r="AF32" s="230">
        <f t="shared" si="4"/>
        <v>29.5</v>
      </c>
      <c r="AG32" s="230">
        <f t="shared" si="5"/>
        <v>24</v>
      </c>
      <c r="AH32" s="10"/>
    </row>
    <row r="33" spans="1:34" ht="12" customHeight="1">
      <c r="A33" s="371" t="s">
        <v>332</v>
      </c>
      <c r="B33" s="154"/>
      <c r="C33" s="154"/>
      <c r="D33" s="154"/>
      <c r="E33" s="154"/>
      <c r="F33" s="154"/>
      <c r="G33" s="154"/>
      <c r="H33" s="154"/>
      <c r="I33" s="227"/>
      <c r="J33" s="227"/>
      <c r="K33" s="10"/>
      <c r="L33" s="10"/>
      <c r="M33" s="10"/>
      <c r="N33" s="10"/>
      <c r="O33" s="10"/>
      <c r="P33" s="10"/>
      <c r="Q33" s="10"/>
      <c r="R33" s="10"/>
      <c r="S33" s="10"/>
      <c r="T33" s="227">
        <f t="shared" si="2"/>
        <v>28.6</v>
      </c>
      <c r="U33" s="227">
        <f t="shared" si="10"/>
        <v>28.700000000000003</v>
      </c>
      <c r="V33" s="227">
        <f t="shared" si="10"/>
        <v>28.800000000000004</v>
      </c>
      <c r="W33" s="227">
        <f t="shared" si="10"/>
        <v>28.900000000000006</v>
      </c>
      <c r="X33" s="329">
        <f t="shared" si="10"/>
        <v>29.000000000000007</v>
      </c>
      <c r="Y33" s="227">
        <f t="shared" si="6"/>
        <v>48</v>
      </c>
      <c r="Z33" s="10"/>
      <c r="AA33" s="227"/>
      <c r="AB33" s="227"/>
      <c r="AC33" s="227"/>
      <c r="AD33" s="10"/>
      <c r="AE33" s="230">
        <f t="shared" si="3"/>
        <v>29.6</v>
      </c>
      <c r="AF33" s="230">
        <f t="shared" si="4"/>
        <v>30.5</v>
      </c>
      <c r="AG33" s="230">
        <f t="shared" si="5"/>
        <v>22</v>
      </c>
      <c r="AH33" s="10"/>
    </row>
    <row r="34" spans="1:34" ht="12" customHeight="1">
      <c r="A34" s="372"/>
      <c r="B34" s="373"/>
      <c r="C34" s="372"/>
      <c r="D34" s="373"/>
      <c r="E34" s="235"/>
      <c r="F34" s="235"/>
      <c r="G34" s="231"/>
      <c r="H34" s="154"/>
      <c r="I34" s="230"/>
      <c r="J34" s="230"/>
      <c r="K34" s="10"/>
      <c r="L34" s="10"/>
      <c r="M34" s="10"/>
      <c r="N34" s="10"/>
      <c r="O34" s="10"/>
      <c r="P34" s="10"/>
      <c r="Q34" s="10"/>
      <c r="R34" s="10"/>
      <c r="S34" s="10"/>
      <c r="T34" s="227">
        <f t="shared" si="2"/>
        <v>29.1</v>
      </c>
      <c r="U34" s="227">
        <f t="shared" si="10"/>
        <v>29.200000000000003</v>
      </c>
      <c r="V34" s="227">
        <f t="shared" si="10"/>
        <v>29.300000000000004</v>
      </c>
      <c r="W34" s="227">
        <f t="shared" si="10"/>
        <v>29.400000000000006</v>
      </c>
      <c r="X34" s="329">
        <f t="shared" si="10"/>
        <v>29.500000000000007</v>
      </c>
      <c r="Y34" s="227">
        <f t="shared" si="6"/>
        <v>48</v>
      </c>
      <c r="Z34" s="10"/>
      <c r="AA34" s="227"/>
      <c r="AB34" s="227"/>
      <c r="AC34" s="227"/>
      <c r="AD34" s="10"/>
      <c r="AE34" s="230">
        <f t="shared" si="3"/>
        <v>30.6</v>
      </c>
      <c r="AF34" s="230">
        <f t="shared" si="4"/>
        <v>31.5</v>
      </c>
      <c r="AG34" s="230">
        <f t="shared" si="5"/>
        <v>20</v>
      </c>
      <c r="AH34" s="10"/>
    </row>
    <row r="35" spans="1:34" ht="12" customHeight="1">
      <c r="A35" s="281"/>
      <c r="B35" s="280"/>
      <c r="C35" s="280"/>
      <c r="D35" s="280"/>
      <c r="E35" s="154"/>
      <c r="F35" s="230"/>
      <c r="G35" s="280"/>
      <c r="H35" s="280"/>
      <c r="I35" s="230"/>
      <c r="J35" s="10"/>
      <c r="K35" s="14"/>
      <c r="L35" s="14"/>
      <c r="M35" s="14"/>
      <c r="N35" s="14"/>
      <c r="O35" s="14"/>
      <c r="P35" s="14"/>
      <c r="Q35" s="14"/>
      <c r="R35" s="14"/>
      <c r="S35" s="10"/>
      <c r="T35" s="227">
        <f t="shared" si="2"/>
        <v>29.6</v>
      </c>
      <c r="U35" s="227">
        <f t="shared" si="10"/>
        <v>29.700000000000003</v>
      </c>
      <c r="V35" s="227">
        <f t="shared" si="10"/>
        <v>29.800000000000004</v>
      </c>
      <c r="W35" s="227">
        <f t="shared" si="10"/>
        <v>29.900000000000006</v>
      </c>
      <c r="X35" s="329">
        <f t="shared" si="10"/>
        <v>30.000000000000007</v>
      </c>
      <c r="Y35" s="227">
        <f t="shared" si="6"/>
        <v>47</v>
      </c>
      <c r="Z35" s="10"/>
      <c r="AA35" s="227"/>
      <c r="AB35" s="227"/>
      <c r="AC35" s="227"/>
      <c r="AD35" s="10"/>
      <c r="AE35" s="230">
        <f t="shared" si="3"/>
        <v>31.6</v>
      </c>
      <c r="AF35" s="230">
        <f t="shared" si="4"/>
        <v>32.5</v>
      </c>
      <c r="AG35" s="230">
        <f t="shared" si="5"/>
        <v>18</v>
      </c>
      <c r="AH35" s="10"/>
    </row>
    <row r="36" spans="1:34" ht="12" customHeight="1">
      <c r="A36" s="231"/>
      <c r="B36" s="231"/>
      <c r="C36" s="231"/>
      <c r="D36" s="231"/>
      <c r="E36" s="154"/>
      <c r="F36" s="281"/>
      <c r="G36" s="280"/>
      <c r="H36" s="280"/>
      <c r="I36" s="280"/>
      <c r="J36" s="10"/>
      <c r="K36" s="14"/>
      <c r="L36" s="14"/>
      <c r="M36" s="14"/>
      <c r="N36" s="14"/>
      <c r="O36" s="14"/>
      <c r="P36" s="14"/>
      <c r="Q36" s="14"/>
      <c r="R36" s="14"/>
      <c r="S36" s="10"/>
      <c r="T36" s="227">
        <f t="shared" si="2"/>
        <v>30.1</v>
      </c>
      <c r="U36" s="227">
        <f t="shared" si="10"/>
        <v>30.200000000000003</v>
      </c>
      <c r="V36" s="227">
        <f t="shared" si="10"/>
        <v>30.300000000000004</v>
      </c>
      <c r="W36" s="227">
        <f t="shared" si="10"/>
        <v>30.400000000000006</v>
      </c>
      <c r="X36" s="329">
        <f t="shared" si="10"/>
        <v>30.500000000000007</v>
      </c>
      <c r="Y36" s="227">
        <f t="shared" si="6"/>
        <v>47</v>
      </c>
      <c r="Z36" s="10"/>
      <c r="AA36" s="227"/>
      <c r="AB36" s="227"/>
      <c r="AC36" s="227"/>
      <c r="AD36" s="10"/>
      <c r="AE36" s="230">
        <f t="shared" si="3"/>
        <v>32.6</v>
      </c>
      <c r="AF36" s="230">
        <f t="shared" si="4"/>
        <v>33.5</v>
      </c>
      <c r="AG36" s="230">
        <f t="shared" si="5"/>
        <v>16</v>
      </c>
      <c r="AH36" s="10"/>
    </row>
    <row r="37" spans="1:34" ht="12" customHeight="1">
      <c r="A37" s="231"/>
      <c r="B37" s="231"/>
      <c r="C37" s="235"/>
      <c r="D37" s="235"/>
      <c r="E37" s="154"/>
      <c r="F37" s="231"/>
      <c r="G37" s="231"/>
      <c r="H37" s="231"/>
      <c r="I37" s="231"/>
      <c r="J37" s="14"/>
      <c r="K37" s="281"/>
      <c r="L37" s="280"/>
      <c r="M37" s="280"/>
      <c r="N37" s="280"/>
      <c r="O37" s="280"/>
      <c r="P37" s="280"/>
      <c r="Q37" s="280"/>
      <c r="R37" s="227"/>
      <c r="S37" s="10"/>
      <c r="T37" s="227">
        <f t="shared" si="2"/>
        <v>30.6</v>
      </c>
      <c r="U37" s="227">
        <f t="shared" si="10"/>
        <v>30.700000000000003</v>
      </c>
      <c r="V37" s="227">
        <f t="shared" si="10"/>
        <v>30.800000000000004</v>
      </c>
      <c r="W37" s="227">
        <f t="shared" si="10"/>
        <v>30.900000000000006</v>
      </c>
      <c r="X37" s="329">
        <f t="shared" si="10"/>
        <v>31.000000000000007</v>
      </c>
      <c r="Y37" s="227">
        <f t="shared" si="6"/>
        <v>46</v>
      </c>
      <c r="Z37" s="10"/>
      <c r="AA37" s="227"/>
      <c r="AB37" s="227"/>
      <c r="AC37" s="227"/>
      <c r="AD37" s="10"/>
      <c r="AE37" s="230">
        <f t="shared" si="3"/>
        <v>33.6</v>
      </c>
      <c r="AF37" s="230">
        <f t="shared" si="4"/>
        <v>34.5</v>
      </c>
      <c r="AG37" s="230">
        <f t="shared" si="5"/>
        <v>14</v>
      </c>
      <c r="AH37" s="10"/>
    </row>
    <row r="38" spans="1:34" ht="12" customHeight="1">
      <c r="A38" s="235"/>
      <c r="B38" s="235"/>
      <c r="C38" s="235"/>
      <c r="D38" s="235"/>
      <c r="E38" s="154"/>
      <c r="F38" s="374"/>
      <c r="G38" s="232"/>
      <c r="H38" s="284"/>
      <c r="I38" s="235"/>
      <c r="J38" s="10"/>
      <c r="K38" s="281"/>
      <c r="L38" s="280"/>
      <c r="M38" s="280"/>
      <c r="N38" s="280"/>
      <c r="O38" s="280"/>
      <c r="P38" s="280"/>
      <c r="Q38" s="280"/>
      <c r="R38" s="229"/>
      <c r="S38" s="10"/>
      <c r="T38" s="227">
        <f t="shared" si="2"/>
        <v>31.1</v>
      </c>
      <c r="U38" s="227">
        <f t="shared" si="10"/>
        <v>31.200000000000003</v>
      </c>
      <c r="V38" s="227">
        <f t="shared" si="10"/>
        <v>31.300000000000004</v>
      </c>
      <c r="W38" s="227">
        <f t="shared" si="10"/>
        <v>31.400000000000006</v>
      </c>
      <c r="X38" s="329">
        <f t="shared" si="10"/>
        <v>31.500000000000007</v>
      </c>
      <c r="Y38" s="227">
        <f t="shared" si="6"/>
        <v>46</v>
      </c>
      <c r="Z38" s="10"/>
      <c r="AA38" s="227"/>
      <c r="AB38" s="227"/>
      <c r="AC38" s="227"/>
      <c r="AD38" s="10"/>
      <c r="AE38" s="230">
        <f t="shared" si="3"/>
        <v>34.6</v>
      </c>
      <c r="AF38" s="230">
        <f t="shared" si="4"/>
        <v>35.5</v>
      </c>
      <c r="AG38" s="230">
        <f t="shared" si="5"/>
        <v>12</v>
      </c>
      <c r="AH38" s="10"/>
    </row>
    <row r="39" spans="1:34" ht="12" customHeight="1">
      <c r="A39" s="235"/>
      <c r="B39" s="235"/>
      <c r="C39" s="235"/>
      <c r="D39" s="235"/>
      <c r="E39" s="154"/>
      <c r="F39" s="235"/>
      <c r="G39" s="235"/>
      <c r="H39" s="235"/>
      <c r="I39" s="235"/>
      <c r="J39" s="10"/>
      <c r="K39" s="10"/>
      <c r="L39" s="14"/>
      <c r="M39" s="14"/>
      <c r="N39" s="14"/>
      <c r="O39" s="14"/>
      <c r="P39" s="14"/>
      <c r="Q39" s="14"/>
      <c r="R39" s="345"/>
      <c r="S39" s="10"/>
      <c r="T39" s="227">
        <f t="shared" si="2"/>
        <v>31.6</v>
      </c>
      <c r="U39" s="227">
        <f t="shared" si="10"/>
        <v>31.700000000000003</v>
      </c>
      <c r="V39" s="227">
        <f t="shared" si="10"/>
        <v>31.800000000000004</v>
      </c>
      <c r="W39" s="227">
        <f t="shared" si="10"/>
        <v>31.900000000000006</v>
      </c>
      <c r="X39" s="329">
        <f t="shared" si="10"/>
        <v>32.00000000000001</v>
      </c>
      <c r="Y39" s="227">
        <f t="shared" si="6"/>
        <v>45</v>
      </c>
      <c r="Z39" s="10"/>
      <c r="AA39" s="227"/>
      <c r="AB39" s="227"/>
      <c r="AC39" s="227"/>
      <c r="AD39" s="10"/>
      <c r="AE39" s="230">
        <f t="shared" si="3"/>
        <v>35.6</v>
      </c>
      <c r="AF39" s="230">
        <f t="shared" si="4"/>
        <v>36.5</v>
      </c>
      <c r="AG39" s="230">
        <f t="shared" si="5"/>
        <v>10</v>
      </c>
      <c r="AH39" s="10"/>
    </row>
    <row r="40" spans="1:34" ht="12" customHeight="1">
      <c r="A40" s="235"/>
      <c r="B40" s="235"/>
      <c r="C40" s="235"/>
      <c r="D40" s="235"/>
      <c r="E40" s="154"/>
      <c r="F40" s="235"/>
      <c r="G40" s="235"/>
      <c r="H40" s="235"/>
      <c r="I40" s="235"/>
      <c r="J40" s="10"/>
      <c r="K40" s="10"/>
      <c r="L40" s="14"/>
      <c r="M40" s="14"/>
      <c r="N40" s="14"/>
      <c r="O40" s="14"/>
      <c r="P40" s="14"/>
      <c r="Q40" s="14"/>
      <c r="R40" s="345"/>
      <c r="S40" s="10"/>
      <c r="T40" s="227">
        <f t="shared" si="2"/>
        <v>32.1</v>
      </c>
      <c r="U40" s="227">
        <f t="shared" si="10"/>
        <v>32.2</v>
      </c>
      <c r="V40" s="227">
        <f t="shared" si="10"/>
        <v>32.300000000000004</v>
      </c>
      <c r="W40" s="227">
        <f t="shared" si="10"/>
        <v>32.400000000000006</v>
      </c>
      <c r="X40" s="329">
        <f t="shared" si="10"/>
        <v>32.50000000000001</v>
      </c>
      <c r="Y40" s="227">
        <f t="shared" si="6"/>
        <v>45</v>
      </c>
      <c r="Z40" s="10"/>
      <c r="AA40" s="227"/>
      <c r="AB40" s="227"/>
      <c r="AC40" s="227"/>
      <c r="AD40" s="10"/>
      <c r="AE40" s="230">
        <f t="shared" si="3"/>
        <v>36.6</v>
      </c>
      <c r="AF40" s="230">
        <f t="shared" si="4"/>
        <v>37.5</v>
      </c>
      <c r="AG40" s="230">
        <f t="shared" si="5"/>
        <v>8</v>
      </c>
      <c r="AH40" s="10"/>
    </row>
    <row r="41" spans="1:34" ht="12" customHeight="1">
      <c r="A41" s="235"/>
      <c r="B41" s="235"/>
      <c r="C41" s="235"/>
      <c r="D41" s="235"/>
      <c r="E41" s="154"/>
      <c r="F41" s="235"/>
      <c r="G41" s="235"/>
      <c r="H41" s="235"/>
      <c r="I41" s="235"/>
      <c r="J41" s="10"/>
      <c r="K41" s="10"/>
      <c r="L41" s="14"/>
      <c r="M41" s="14"/>
      <c r="N41" s="14"/>
      <c r="O41" s="14"/>
      <c r="P41" s="14"/>
      <c r="Q41" s="14"/>
      <c r="R41" s="10"/>
      <c r="S41" s="10"/>
      <c r="T41" s="227">
        <f aca="true" t="shared" si="11" ref="T41:T72">T40+0.5</f>
        <v>32.6</v>
      </c>
      <c r="U41" s="227">
        <f t="shared" si="10"/>
        <v>32.7</v>
      </c>
      <c r="V41" s="227">
        <f t="shared" si="10"/>
        <v>32.800000000000004</v>
      </c>
      <c r="W41" s="227">
        <f t="shared" si="10"/>
        <v>32.900000000000006</v>
      </c>
      <c r="X41" s="329">
        <f t="shared" si="10"/>
        <v>33.00000000000001</v>
      </c>
      <c r="Y41" s="227">
        <f t="shared" si="6"/>
        <v>44</v>
      </c>
      <c r="Z41" s="10"/>
      <c r="AA41" s="227"/>
      <c r="AB41" s="227"/>
      <c r="AC41" s="227"/>
      <c r="AD41" s="10"/>
      <c r="AE41" s="230">
        <f t="shared" si="3"/>
        <v>37.6</v>
      </c>
      <c r="AF41" s="230">
        <f t="shared" si="4"/>
        <v>38.5</v>
      </c>
      <c r="AG41" s="230">
        <f t="shared" si="5"/>
        <v>6</v>
      </c>
      <c r="AH41" s="10"/>
    </row>
    <row r="42" spans="1:34" ht="12" customHeight="1">
      <c r="A42" s="235"/>
      <c r="B42" s="235"/>
      <c r="C42" s="235"/>
      <c r="D42" s="235"/>
      <c r="E42" s="154"/>
      <c r="F42" s="235"/>
      <c r="G42" s="235"/>
      <c r="H42" s="235"/>
      <c r="I42" s="235"/>
      <c r="J42" s="10"/>
      <c r="K42" s="10"/>
      <c r="L42" s="14"/>
      <c r="M42" s="14"/>
      <c r="N42" s="14"/>
      <c r="O42" s="14"/>
      <c r="P42" s="14"/>
      <c r="Q42" s="14"/>
      <c r="R42" s="10"/>
      <c r="S42" s="10"/>
      <c r="T42" s="227">
        <f t="shared" si="11"/>
        <v>33.1</v>
      </c>
      <c r="U42" s="227">
        <f t="shared" si="10"/>
        <v>33.2</v>
      </c>
      <c r="V42" s="227">
        <f t="shared" si="10"/>
        <v>33.300000000000004</v>
      </c>
      <c r="W42" s="227">
        <f t="shared" si="10"/>
        <v>33.400000000000006</v>
      </c>
      <c r="X42" s="329">
        <f t="shared" si="10"/>
        <v>33.50000000000001</v>
      </c>
      <c r="Y42" s="227">
        <f aca="true" t="shared" si="12" ref="Y42:Y73">Y40-1</f>
        <v>44</v>
      </c>
      <c r="Z42" s="10"/>
      <c r="AA42" s="227"/>
      <c r="AB42" s="227"/>
      <c r="AC42" s="227"/>
      <c r="AD42" s="10"/>
      <c r="AE42" s="230">
        <f t="shared" si="3"/>
        <v>38.6</v>
      </c>
      <c r="AF42" s="230">
        <f t="shared" si="4"/>
        <v>39.5</v>
      </c>
      <c r="AG42" s="230">
        <f t="shared" si="5"/>
        <v>4</v>
      </c>
      <c r="AH42" s="10"/>
    </row>
    <row r="43" spans="1:34" ht="12" customHeight="1">
      <c r="A43" s="235"/>
      <c r="B43" s="235"/>
      <c r="C43" s="235"/>
      <c r="D43" s="235"/>
      <c r="E43" s="154"/>
      <c r="F43" s="235"/>
      <c r="G43" s="235"/>
      <c r="H43" s="235"/>
      <c r="I43" s="235"/>
      <c r="J43" s="10"/>
      <c r="K43" s="10"/>
      <c r="L43" s="14"/>
      <c r="M43" s="14"/>
      <c r="N43" s="14"/>
      <c r="O43" s="14"/>
      <c r="P43" s="14"/>
      <c r="Q43" s="14"/>
      <c r="R43" s="10"/>
      <c r="S43" s="10"/>
      <c r="T43" s="227">
        <f t="shared" si="11"/>
        <v>33.6</v>
      </c>
      <c r="U43" s="227">
        <f t="shared" si="10"/>
        <v>33.7</v>
      </c>
      <c r="V43" s="227">
        <f t="shared" si="10"/>
        <v>33.800000000000004</v>
      </c>
      <c r="W43" s="227">
        <f t="shared" si="10"/>
        <v>33.900000000000006</v>
      </c>
      <c r="X43" s="329">
        <f t="shared" si="10"/>
        <v>34.00000000000001</v>
      </c>
      <c r="Y43" s="227">
        <f t="shared" si="12"/>
        <v>43</v>
      </c>
      <c r="Z43" s="10"/>
      <c r="AA43" s="227"/>
      <c r="AB43" s="227"/>
      <c r="AC43" s="227"/>
      <c r="AD43" s="10"/>
      <c r="AE43" s="230">
        <f t="shared" si="3"/>
        <v>39.6</v>
      </c>
      <c r="AF43" s="230">
        <f t="shared" si="4"/>
        <v>40.5</v>
      </c>
      <c r="AG43" s="230">
        <f t="shared" si="5"/>
        <v>2</v>
      </c>
      <c r="AH43" s="10"/>
    </row>
    <row r="44" spans="1:34" ht="12" customHeight="1">
      <c r="A44" s="235"/>
      <c r="B44" s="235"/>
      <c r="C44" s="235"/>
      <c r="D44" s="235"/>
      <c r="E44" s="154"/>
      <c r="F44" s="235"/>
      <c r="G44" s="235"/>
      <c r="H44" s="235"/>
      <c r="I44" s="235"/>
      <c r="J44" s="10"/>
      <c r="K44" s="10"/>
      <c r="L44" s="14"/>
      <c r="M44" s="14"/>
      <c r="N44" s="14"/>
      <c r="O44" s="14"/>
      <c r="P44" s="14"/>
      <c r="Q44" s="14"/>
      <c r="R44" s="230"/>
      <c r="S44" s="10"/>
      <c r="T44" s="227">
        <f t="shared" si="11"/>
        <v>34.1</v>
      </c>
      <c r="U44" s="227">
        <f t="shared" si="10"/>
        <v>34.2</v>
      </c>
      <c r="V44" s="227">
        <f t="shared" si="10"/>
        <v>34.300000000000004</v>
      </c>
      <c r="W44" s="227">
        <f t="shared" si="10"/>
        <v>34.400000000000006</v>
      </c>
      <c r="X44" s="329">
        <f t="shared" si="10"/>
        <v>34.50000000000001</v>
      </c>
      <c r="Y44" s="227">
        <f t="shared" si="12"/>
        <v>43</v>
      </c>
      <c r="Z44" s="10"/>
      <c r="AA44" s="227"/>
      <c r="AB44" s="227"/>
      <c r="AC44" s="227"/>
      <c r="AD44" s="10"/>
      <c r="AE44" s="230">
        <f>AE43+1</f>
        <v>40.6</v>
      </c>
      <c r="AF44" s="154"/>
      <c r="AG44" s="230">
        <f t="shared" si="5"/>
        <v>0</v>
      </c>
      <c r="AH44" s="10"/>
    </row>
    <row r="45" spans="1:34" ht="12" customHeight="1">
      <c r="A45" s="235"/>
      <c r="B45" s="235"/>
      <c r="C45" s="235"/>
      <c r="D45" s="235"/>
      <c r="E45" s="154"/>
      <c r="F45" s="235"/>
      <c r="G45" s="235"/>
      <c r="H45" s="235"/>
      <c r="I45" s="235"/>
      <c r="J45" s="10"/>
      <c r="K45" s="10"/>
      <c r="L45" s="14"/>
      <c r="M45" s="14"/>
      <c r="N45" s="14"/>
      <c r="O45" s="14"/>
      <c r="P45" s="14"/>
      <c r="Q45" s="14"/>
      <c r="R45" s="231"/>
      <c r="S45" s="10"/>
      <c r="T45" s="227">
        <f t="shared" si="11"/>
        <v>34.6</v>
      </c>
      <c r="U45" s="227">
        <f t="shared" si="10"/>
        <v>34.7</v>
      </c>
      <c r="V45" s="227">
        <f t="shared" si="10"/>
        <v>34.800000000000004</v>
      </c>
      <c r="W45" s="227">
        <f t="shared" si="10"/>
        <v>34.900000000000006</v>
      </c>
      <c r="X45" s="329">
        <f t="shared" si="10"/>
        <v>35.00000000000001</v>
      </c>
      <c r="Y45" s="227">
        <f t="shared" si="12"/>
        <v>42</v>
      </c>
      <c r="Z45" s="10"/>
      <c r="AA45" s="227"/>
      <c r="AB45" s="227"/>
      <c r="AC45" s="227"/>
      <c r="AD45" s="10"/>
      <c r="AE45" s="154"/>
      <c r="AF45" s="154"/>
      <c r="AG45" s="154"/>
      <c r="AH45" s="10"/>
    </row>
    <row r="46" spans="1:34" ht="12" customHeight="1">
      <c r="A46" s="235"/>
      <c r="B46" s="235"/>
      <c r="C46" s="235"/>
      <c r="D46" s="235"/>
      <c r="E46" s="154"/>
      <c r="F46" s="235"/>
      <c r="G46" s="235"/>
      <c r="H46" s="235"/>
      <c r="I46" s="235"/>
      <c r="J46" s="10"/>
      <c r="K46" s="10"/>
      <c r="L46" s="281"/>
      <c r="M46" s="280"/>
      <c r="N46" s="280"/>
      <c r="O46" s="280"/>
      <c r="P46" s="280"/>
      <c r="Q46" s="280"/>
      <c r="R46" s="232"/>
      <c r="S46" s="10"/>
      <c r="T46" s="227">
        <f t="shared" si="11"/>
        <v>35.1</v>
      </c>
      <c r="U46" s="227">
        <f t="shared" si="10"/>
        <v>35.2</v>
      </c>
      <c r="V46" s="227">
        <f t="shared" si="10"/>
        <v>35.300000000000004</v>
      </c>
      <c r="W46" s="227">
        <f t="shared" si="10"/>
        <v>35.400000000000006</v>
      </c>
      <c r="X46" s="329">
        <f t="shared" si="10"/>
        <v>35.50000000000001</v>
      </c>
      <c r="Y46" s="227">
        <f t="shared" si="12"/>
        <v>42</v>
      </c>
      <c r="Z46" s="10"/>
      <c r="AA46" s="227"/>
      <c r="AB46" s="227"/>
      <c r="AC46" s="227"/>
      <c r="AD46" s="10"/>
      <c r="AE46" s="154"/>
      <c r="AF46" s="154"/>
      <c r="AG46" s="154"/>
      <c r="AH46" s="10"/>
    </row>
    <row r="47" spans="1:34" ht="12" customHeight="1">
      <c r="A47" s="235"/>
      <c r="B47" s="235"/>
      <c r="C47" s="235"/>
      <c r="D47" s="235"/>
      <c r="E47" s="154"/>
      <c r="F47" s="235"/>
      <c r="G47" s="235"/>
      <c r="H47" s="235"/>
      <c r="I47" s="235"/>
      <c r="J47" s="10"/>
      <c r="K47" s="10"/>
      <c r="L47" s="281"/>
      <c r="M47" s="280"/>
      <c r="N47" s="280"/>
      <c r="O47" s="280"/>
      <c r="P47" s="280"/>
      <c r="Q47" s="280"/>
      <c r="R47" s="235"/>
      <c r="S47" s="10"/>
      <c r="T47" s="227">
        <f t="shared" si="11"/>
        <v>35.6</v>
      </c>
      <c r="U47" s="227">
        <f t="shared" si="10"/>
        <v>35.7</v>
      </c>
      <c r="V47" s="227">
        <f t="shared" si="10"/>
        <v>35.800000000000004</v>
      </c>
      <c r="W47" s="227">
        <f t="shared" si="10"/>
        <v>35.900000000000006</v>
      </c>
      <c r="X47" s="329">
        <f t="shared" si="10"/>
        <v>36.00000000000001</v>
      </c>
      <c r="Y47" s="227">
        <f t="shared" si="12"/>
        <v>41</v>
      </c>
      <c r="Z47" s="10"/>
      <c r="AA47" s="227"/>
      <c r="AB47" s="227"/>
      <c r="AC47" s="227"/>
      <c r="AD47" s="10"/>
      <c r="AE47" s="154"/>
      <c r="AF47" s="154"/>
      <c r="AG47" s="154"/>
      <c r="AH47" s="10"/>
    </row>
    <row r="48" spans="1:34" ht="12" customHeight="1">
      <c r="A48" s="235"/>
      <c r="B48" s="235"/>
      <c r="C48" s="235"/>
      <c r="D48" s="235"/>
      <c r="E48" s="154"/>
      <c r="F48" s="235"/>
      <c r="G48" s="235"/>
      <c r="H48" s="235"/>
      <c r="I48" s="235"/>
      <c r="J48" s="10"/>
      <c r="K48" s="10"/>
      <c r="L48" s="375"/>
      <c r="M48" s="299"/>
      <c r="N48" s="299"/>
      <c r="O48" s="299"/>
      <c r="P48" s="299"/>
      <c r="Q48" s="231"/>
      <c r="R48" s="235"/>
      <c r="S48" s="10"/>
      <c r="T48" s="227">
        <f t="shared" si="11"/>
        <v>36.1</v>
      </c>
      <c r="U48" s="227">
        <f aca="true" t="shared" si="13" ref="U48:X67">T48+0.1</f>
        <v>36.2</v>
      </c>
      <c r="V48" s="227">
        <f t="shared" si="13"/>
        <v>36.300000000000004</v>
      </c>
      <c r="W48" s="227">
        <f t="shared" si="13"/>
        <v>36.400000000000006</v>
      </c>
      <c r="X48" s="329">
        <f t="shared" si="13"/>
        <v>36.50000000000001</v>
      </c>
      <c r="Y48" s="227">
        <f t="shared" si="12"/>
        <v>41</v>
      </c>
      <c r="Z48" s="10"/>
      <c r="AA48" s="227"/>
      <c r="AB48" s="227"/>
      <c r="AC48" s="227"/>
      <c r="AD48" s="10"/>
      <c r="AE48" s="154"/>
      <c r="AF48" s="154"/>
      <c r="AG48" s="154"/>
      <c r="AH48" s="10"/>
    </row>
    <row r="49" spans="1:34" ht="12" customHeight="1">
      <c r="A49" s="235"/>
      <c r="B49" s="235"/>
      <c r="C49" s="235"/>
      <c r="D49" s="235"/>
      <c r="E49" s="154"/>
      <c r="F49" s="235"/>
      <c r="G49" s="235"/>
      <c r="H49" s="235"/>
      <c r="I49" s="235"/>
      <c r="J49" s="10"/>
      <c r="K49" s="10"/>
      <c r="L49" s="376"/>
      <c r="M49" s="377"/>
      <c r="N49" s="377"/>
      <c r="O49" s="377"/>
      <c r="P49" s="378"/>
      <c r="Q49" s="232"/>
      <c r="R49" s="235"/>
      <c r="S49" s="10"/>
      <c r="T49" s="227">
        <f t="shared" si="11"/>
        <v>36.6</v>
      </c>
      <c r="U49" s="227">
        <f t="shared" si="13"/>
        <v>36.7</v>
      </c>
      <c r="V49" s="227">
        <f t="shared" si="13"/>
        <v>36.800000000000004</v>
      </c>
      <c r="W49" s="227">
        <f t="shared" si="13"/>
        <v>36.900000000000006</v>
      </c>
      <c r="X49" s="329">
        <f t="shared" si="13"/>
        <v>37.00000000000001</v>
      </c>
      <c r="Y49" s="227">
        <f t="shared" si="12"/>
        <v>40</v>
      </c>
      <c r="Z49" s="10"/>
      <c r="AA49" s="227"/>
      <c r="AB49" s="227"/>
      <c r="AC49" s="227"/>
      <c r="AD49" s="10"/>
      <c r="AE49" s="154"/>
      <c r="AF49" s="154"/>
      <c r="AG49" s="154"/>
      <c r="AH49" s="10"/>
    </row>
    <row r="50" spans="1:34" ht="12" customHeight="1">
      <c r="A50" s="235"/>
      <c r="B50" s="235"/>
      <c r="C50" s="235"/>
      <c r="D50" s="235"/>
      <c r="E50" s="154"/>
      <c r="F50" s="235"/>
      <c r="G50" s="235"/>
      <c r="H50" s="235"/>
      <c r="I50" s="235"/>
      <c r="J50" s="10"/>
      <c r="K50" s="10"/>
      <c r="L50" s="281"/>
      <c r="M50" s="280"/>
      <c r="N50" s="281"/>
      <c r="O50" s="280"/>
      <c r="P50" s="379"/>
      <c r="Q50" s="235"/>
      <c r="R50" s="235"/>
      <c r="S50" s="10"/>
      <c r="T50" s="227">
        <f t="shared" si="11"/>
        <v>37.1</v>
      </c>
      <c r="U50" s="227">
        <f t="shared" si="13"/>
        <v>37.2</v>
      </c>
      <c r="V50" s="227">
        <f t="shared" si="13"/>
        <v>37.300000000000004</v>
      </c>
      <c r="W50" s="227">
        <f t="shared" si="13"/>
        <v>37.400000000000006</v>
      </c>
      <c r="X50" s="329">
        <f t="shared" si="13"/>
        <v>37.50000000000001</v>
      </c>
      <c r="Y50" s="227">
        <f t="shared" si="12"/>
        <v>40</v>
      </c>
      <c r="Z50" s="10"/>
      <c r="AA50" s="227"/>
      <c r="AB50" s="227"/>
      <c r="AC50" s="227"/>
      <c r="AD50" s="10"/>
      <c r="AE50" s="154"/>
      <c r="AF50" s="154"/>
      <c r="AG50" s="154"/>
      <c r="AH50" s="10"/>
    </row>
    <row r="51" spans="1:34" ht="12" customHeight="1">
      <c r="A51" s="232"/>
      <c r="B51" s="232"/>
      <c r="C51" s="235"/>
      <c r="D51" s="235"/>
      <c r="E51" s="154"/>
      <c r="F51" s="235"/>
      <c r="G51" s="235"/>
      <c r="H51" s="235"/>
      <c r="I51" s="235"/>
      <c r="J51" s="10"/>
      <c r="K51" s="10"/>
      <c r="L51" s="281"/>
      <c r="M51" s="280"/>
      <c r="N51" s="281"/>
      <c r="O51" s="280"/>
      <c r="P51" s="379"/>
      <c r="Q51" s="235"/>
      <c r="R51" s="235"/>
      <c r="S51" s="10"/>
      <c r="T51" s="227">
        <f t="shared" si="11"/>
        <v>37.6</v>
      </c>
      <c r="U51" s="227">
        <f t="shared" si="13"/>
        <v>37.7</v>
      </c>
      <c r="V51" s="227">
        <f t="shared" si="13"/>
        <v>37.800000000000004</v>
      </c>
      <c r="W51" s="227">
        <f t="shared" si="13"/>
        <v>37.900000000000006</v>
      </c>
      <c r="X51" s="329">
        <f t="shared" si="13"/>
        <v>38.00000000000001</v>
      </c>
      <c r="Y51" s="227">
        <f t="shared" si="12"/>
        <v>39</v>
      </c>
      <c r="Z51" s="10"/>
      <c r="AA51" s="227"/>
      <c r="AB51" s="227"/>
      <c r="AC51" s="227"/>
      <c r="AD51" s="10"/>
      <c r="AE51" s="154"/>
      <c r="AF51" s="154"/>
      <c r="AG51" s="154"/>
      <c r="AH51" s="10"/>
    </row>
    <row r="52" spans="1:34" ht="12" customHeight="1">
      <c r="A52" s="235"/>
      <c r="B52" s="235"/>
      <c r="C52" s="235"/>
      <c r="D52" s="235"/>
      <c r="E52" s="154"/>
      <c r="F52" s="235"/>
      <c r="G52" s="235"/>
      <c r="H52" s="235"/>
      <c r="I52" s="235"/>
      <c r="J52" s="10"/>
      <c r="K52" s="10"/>
      <c r="L52" s="281"/>
      <c r="M52" s="280"/>
      <c r="N52" s="281"/>
      <c r="O52" s="280"/>
      <c r="P52" s="379"/>
      <c r="Q52" s="235"/>
      <c r="R52" s="235"/>
      <c r="S52" s="10"/>
      <c r="T52" s="227">
        <f t="shared" si="11"/>
        <v>38.1</v>
      </c>
      <c r="U52" s="227">
        <f t="shared" si="13"/>
        <v>38.2</v>
      </c>
      <c r="V52" s="227">
        <f t="shared" si="13"/>
        <v>38.300000000000004</v>
      </c>
      <c r="W52" s="227">
        <f t="shared" si="13"/>
        <v>38.400000000000006</v>
      </c>
      <c r="X52" s="329">
        <f t="shared" si="13"/>
        <v>38.50000000000001</v>
      </c>
      <c r="Y52" s="227">
        <f t="shared" si="12"/>
        <v>39</v>
      </c>
      <c r="Z52" s="10"/>
      <c r="AA52" s="227"/>
      <c r="AB52" s="227"/>
      <c r="AC52" s="227"/>
      <c r="AD52" s="10"/>
      <c r="AE52" s="154"/>
      <c r="AF52" s="154"/>
      <c r="AG52" s="154"/>
      <c r="AH52" s="10"/>
    </row>
    <row r="53" spans="1:34" ht="12" customHeight="1">
      <c r="A53" s="235"/>
      <c r="B53" s="235"/>
      <c r="C53" s="235"/>
      <c r="D53" s="235"/>
      <c r="E53" s="154"/>
      <c r="F53" s="227"/>
      <c r="G53" s="227"/>
      <c r="H53" s="227"/>
      <c r="I53" s="227"/>
      <c r="J53" s="10"/>
      <c r="K53" s="10"/>
      <c r="L53" s="281"/>
      <c r="M53" s="280"/>
      <c r="N53" s="281"/>
      <c r="O53" s="280"/>
      <c r="P53" s="379"/>
      <c r="Q53" s="235"/>
      <c r="R53" s="235"/>
      <c r="S53" s="10"/>
      <c r="T53" s="227">
        <f t="shared" si="11"/>
        <v>38.6</v>
      </c>
      <c r="U53" s="227">
        <f t="shared" si="13"/>
        <v>38.7</v>
      </c>
      <c r="V53" s="227">
        <f t="shared" si="13"/>
        <v>38.800000000000004</v>
      </c>
      <c r="W53" s="227">
        <f t="shared" si="13"/>
        <v>38.900000000000006</v>
      </c>
      <c r="X53" s="329">
        <f t="shared" si="13"/>
        <v>39.00000000000001</v>
      </c>
      <c r="Y53" s="227">
        <f t="shared" si="12"/>
        <v>38</v>
      </c>
      <c r="Z53" s="10"/>
      <c r="AA53" s="227"/>
      <c r="AB53" s="227"/>
      <c r="AC53" s="227"/>
      <c r="AD53" s="10"/>
      <c r="AE53" s="154"/>
      <c r="AF53" s="154"/>
      <c r="AG53" s="154"/>
      <c r="AH53" s="10"/>
    </row>
    <row r="54" spans="1:34" ht="12" customHeight="1">
      <c r="A54" s="235"/>
      <c r="B54" s="235"/>
      <c r="C54" s="235"/>
      <c r="D54" s="235"/>
      <c r="E54" s="154"/>
      <c r="F54" s="227"/>
      <c r="G54" s="227"/>
      <c r="H54" s="227"/>
      <c r="I54" s="227"/>
      <c r="J54" s="10"/>
      <c r="K54" s="10"/>
      <c r="L54" s="281"/>
      <c r="M54" s="280"/>
      <c r="N54" s="281"/>
      <c r="O54" s="280"/>
      <c r="P54" s="379"/>
      <c r="Q54" s="235"/>
      <c r="R54" s="235"/>
      <c r="S54" s="10"/>
      <c r="T54" s="227">
        <f t="shared" si="11"/>
        <v>39.1</v>
      </c>
      <c r="U54" s="227">
        <f t="shared" si="13"/>
        <v>39.2</v>
      </c>
      <c r="V54" s="227">
        <f t="shared" si="13"/>
        <v>39.300000000000004</v>
      </c>
      <c r="W54" s="227">
        <f t="shared" si="13"/>
        <v>39.400000000000006</v>
      </c>
      <c r="X54" s="329">
        <f t="shared" si="13"/>
        <v>39.50000000000001</v>
      </c>
      <c r="Y54" s="227">
        <f t="shared" si="12"/>
        <v>38</v>
      </c>
      <c r="Z54" s="10"/>
      <c r="AA54" s="227"/>
      <c r="AB54" s="227"/>
      <c r="AC54" s="227"/>
      <c r="AD54" s="10"/>
      <c r="AE54" s="154"/>
      <c r="AF54" s="154"/>
      <c r="AG54" s="154"/>
      <c r="AH54" s="10"/>
    </row>
    <row r="55" spans="1:34" ht="12" customHeight="1">
      <c r="A55" s="235"/>
      <c r="B55" s="235"/>
      <c r="C55" s="235"/>
      <c r="D55" s="235"/>
      <c r="E55" s="154"/>
      <c r="F55" s="227"/>
      <c r="G55" s="227"/>
      <c r="H55" s="227"/>
      <c r="I55" s="227"/>
      <c r="J55" s="10"/>
      <c r="K55" s="10"/>
      <c r="L55" s="281"/>
      <c r="M55" s="280"/>
      <c r="N55" s="281"/>
      <c r="O55" s="280"/>
      <c r="P55" s="379"/>
      <c r="Q55" s="235"/>
      <c r="R55" s="235"/>
      <c r="S55" s="10"/>
      <c r="T55" s="227">
        <f t="shared" si="11"/>
        <v>39.6</v>
      </c>
      <c r="U55" s="227">
        <f t="shared" si="13"/>
        <v>39.7</v>
      </c>
      <c r="V55" s="227">
        <f t="shared" si="13"/>
        <v>39.800000000000004</v>
      </c>
      <c r="W55" s="227">
        <f t="shared" si="13"/>
        <v>39.900000000000006</v>
      </c>
      <c r="X55" s="329">
        <f t="shared" si="13"/>
        <v>40.00000000000001</v>
      </c>
      <c r="Y55" s="227">
        <f t="shared" si="12"/>
        <v>37</v>
      </c>
      <c r="Z55" s="10"/>
      <c r="AA55" s="227"/>
      <c r="AB55" s="227"/>
      <c r="AC55" s="227"/>
      <c r="AD55" s="10"/>
      <c r="AE55" s="154"/>
      <c r="AF55" s="154"/>
      <c r="AG55" s="154"/>
      <c r="AH55" s="10"/>
    </row>
    <row r="56" spans="1:34" ht="12.75" customHeight="1">
      <c r="A56" s="235"/>
      <c r="B56" s="235"/>
      <c r="C56" s="231"/>
      <c r="D56" s="231"/>
      <c r="E56" s="154"/>
      <c r="F56" s="227"/>
      <c r="G56" s="227"/>
      <c r="H56" s="231"/>
      <c r="I56" s="231"/>
      <c r="J56" s="10"/>
      <c r="K56" s="10"/>
      <c r="L56" s="282"/>
      <c r="M56" s="283"/>
      <c r="N56" s="281"/>
      <c r="O56" s="280"/>
      <c r="P56" s="379"/>
      <c r="Q56" s="235"/>
      <c r="R56" s="235"/>
      <c r="S56" s="10"/>
      <c r="T56" s="227">
        <f t="shared" si="11"/>
        <v>40.1</v>
      </c>
      <c r="U56" s="227">
        <f t="shared" si="13"/>
        <v>40.2</v>
      </c>
      <c r="V56" s="227">
        <f t="shared" si="13"/>
        <v>40.300000000000004</v>
      </c>
      <c r="W56" s="227">
        <f t="shared" si="13"/>
        <v>40.400000000000006</v>
      </c>
      <c r="X56" s="329">
        <f t="shared" si="13"/>
        <v>40.50000000000001</v>
      </c>
      <c r="Y56" s="227">
        <f t="shared" si="12"/>
        <v>37</v>
      </c>
      <c r="Z56" s="10"/>
      <c r="AA56" s="227"/>
      <c r="AB56" s="227"/>
      <c r="AC56" s="227"/>
      <c r="AD56" s="10"/>
      <c r="AE56" s="154"/>
      <c r="AF56" s="154"/>
      <c r="AG56" s="154"/>
      <c r="AH56" s="10"/>
    </row>
    <row r="57" spans="1:34" ht="12" customHeight="1">
      <c r="A57" s="340"/>
      <c r="B57" s="345"/>
      <c r="C57" s="345"/>
      <c r="D57" s="345"/>
      <c r="E57" s="345"/>
      <c r="F57" s="345"/>
      <c r="G57" s="380"/>
      <c r="H57" s="154"/>
      <c r="I57" s="345"/>
      <c r="J57" s="345"/>
      <c r="K57" s="345"/>
      <c r="L57" s="283"/>
      <c r="M57" s="283"/>
      <c r="N57" s="280"/>
      <c r="O57" s="280"/>
      <c r="P57" s="379"/>
      <c r="Q57" s="235"/>
      <c r="R57" s="345"/>
      <c r="S57" s="10"/>
      <c r="T57" s="227">
        <f t="shared" si="11"/>
        <v>40.6</v>
      </c>
      <c r="U57" s="227">
        <f t="shared" si="13"/>
        <v>40.7</v>
      </c>
      <c r="V57" s="227">
        <f t="shared" si="13"/>
        <v>40.800000000000004</v>
      </c>
      <c r="W57" s="227">
        <f t="shared" si="13"/>
        <v>40.900000000000006</v>
      </c>
      <c r="X57" s="329">
        <f t="shared" si="13"/>
        <v>41.00000000000001</v>
      </c>
      <c r="Y57" s="227">
        <f t="shared" si="12"/>
        <v>36</v>
      </c>
      <c r="Z57" s="10"/>
      <c r="AA57" s="227"/>
      <c r="AB57" s="227"/>
      <c r="AC57" s="227"/>
      <c r="AD57" s="10"/>
      <c r="AE57" s="154"/>
      <c r="AF57" s="154"/>
      <c r="AG57" s="154"/>
      <c r="AH57" s="10"/>
    </row>
    <row r="58" spans="1:34" ht="15.75" customHeight="1">
      <c r="A58" s="154"/>
      <c r="B58" s="154"/>
      <c r="C58" s="154"/>
      <c r="D58" s="154"/>
      <c r="E58" s="154"/>
      <c r="F58" s="154"/>
      <c r="G58" s="154"/>
      <c r="H58" s="154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227">
        <f t="shared" si="11"/>
        <v>41.1</v>
      </c>
      <c r="U58" s="227">
        <f t="shared" si="13"/>
        <v>41.2</v>
      </c>
      <c r="V58" s="227">
        <f t="shared" si="13"/>
        <v>41.300000000000004</v>
      </c>
      <c r="W58" s="227">
        <f t="shared" si="13"/>
        <v>41.400000000000006</v>
      </c>
      <c r="X58" s="329">
        <f t="shared" si="13"/>
        <v>41.50000000000001</v>
      </c>
      <c r="Y58" s="227">
        <f t="shared" si="12"/>
        <v>36</v>
      </c>
      <c r="Z58" s="10"/>
      <c r="AA58" s="227"/>
      <c r="AB58" s="227"/>
      <c r="AC58" s="227"/>
      <c r="AD58" s="10"/>
      <c r="AE58" s="154"/>
      <c r="AF58" s="154"/>
      <c r="AG58" s="154"/>
      <c r="AH58" s="10"/>
    </row>
    <row r="59" spans="1:34" ht="15.75" customHeight="1">
      <c r="A59" s="154"/>
      <c r="B59" s="154"/>
      <c r="C59" s="154"/>
      <c r="D59" s="154"/>
      <c r="E59" s="154"/>
      <c r="F59" s="154"/>
      <c r="G59" s="154"/>
      <c r="H59" s="154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227">
        <f t="shared" si="11"/>
        <v>41.6</v>
      </c>
      <c r="U59" s="227">
        <f t="shared" si="13"/>
        <v>41.7</v>
      </c>
      <c r="V59" s="227">
        <f t="shared" si="13"/>
        <v>41.800000000000004</v>
      </c>
      <c r="W59" s="227">
        <f t="shared" si="13"/>
        <v>41.900000000000006</v>
      </c>
      <c r="X59" s="329">
        <f t="shared" si="13"/>
        <v>42.00000000000001</v>
      </c>
      <c r="Y59" s="227">
        <f t="shared" si="12"/>
        <v>35</v>
      </c>
      <c r="Z59" s="10"/>
      <c r="AA59" s="227"/>
      <c r="AB59" s="227"/>
      <c r="AC59" s="227"/>
      <c r="AD59" s="10"/>
      <c r="AE59" s="154"/>
      <c r="AF59" s="154"/>
      <c r="AG59" s="154"/>
      <c r="AH59" s="10"/>
    </row>
    <row r="60" spans="1:34" ht="15.75" customHeight="1">
      <c r="A60" s="154"/>
      <c r="B60" s="154"/>
      <c r="C60" s="154"/>
      <c r="D60" s="154"/>
      <c r="E60" s="154"/>
      <c r="F60" s="154"/>
      <c r="G60" s="154"/>
      <c r="H60" s="154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227">
        <f t="shared" si="11"/>
        <v>42.1</v>
      </c>
      <c r="U60" s="227">
        <f t="shared" si="13"/>
        <v>42.2</v>
      </c>
      <c r="V60" s="227">
        <f t="shared" si="13"/>
        <v>42.300000000000004</v>
      </c>
      <c r="W60" s="227">
        <f t="shared" si="13"/>
        <v>42.400000000000006</v>
      </c>
      <c r="X60" s="329">
        <f t="shared" si="13"/>
        <v>42.50000000000001</v>
      </c>
      <c r="Y60" s="227">
        <f t="shared" si="12"/>
        <v>35</v>
      </c>
      <c r="Z60" s="10"/>
      <c r="AA60" s="227"/>
      <c r="AB60" s="227"/>
      <c r="AC60" s="227"/>
      <c r="AD60" s="10"/>
      <c r="AE60" s="154"/>
      <c r="AF60" s="154"/>
      <c r="AG60" s="154"/>
      <c r="AH60" s="10"/>
    </row>
    <row r="61" spans="1:34" ht="15.75" customHeight="1">
      <c r="A61" s="154"/>
      <c r="B61" s="154"/>
      <c r="C61" s="154"/>
      <c r="D61" s="154"/>
      <c r="E61" s="154"/>
      <c r="F61" s="154"/>
      <c r="G61" s="154"/>
      <c r="H61" s="154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227">
        <f t="shared" si="11"/>
        <v>42.6</v>
      </c>
      <c r="U61" s="227">
        <f t="shared" si="13"/>
        <v>42.7</v>
      </c>
      <c r="V61" s="227">
        <f t="shared" si="13"/>
        <v>42.800000000000004</v>
      </c>
      <c r="W61" s="227">
        <f t="shared" si="13"/>
        <v>42.900000000000006</v>
      </c>
      <c r="X61" s="329">
        <f t="shared" si="13"/>
        <v>43.00000000000001</v>
      </c>
      <c r="Y61" s="227">
        <f t="shared" si="12"/>
        <v>34</v>
      </c>
      <c r="Z61" s="10"/>
      <c r="AA61" s="227"/>
      <c r="AB61" s="227"/>
      <c r="AC61" s="227"/>
      <c r="AD61" s="10"/>
      <c r="AE61" s="154"/>
      <c r="AF61" s="154"/>
      <c r="AG61" s="154"/>
      <c r="AH61" s="10"/>
    </row>
    <row r="62" spans="1:34" ht="15.75" customHeight="1">
      <c r="A62" s="154"/>
      <c r="B62" s="154"/>
      <c r="C62" s="154"/>
      <c r="D62" s="154"/>
      <c r="E62" s="154"/>
      <c r="F62" s="154"/>
      <c r="G62" s="154"/>
      <c r="H62" s="154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227">
        <f t="shared" si="11"/>
        <v>43.1</v>
      </c>
      <c r="U62" s="227">
        <f t="shared" si="13"/>
        <v>43.2</v>
      </c>
      <c r="V62" s="227">
        <f t="shared" si="13"/>
        <v>43.300000000000004</v>
      </c>
      <c r="W62" s="227">
        <f t="shared" si="13"/>
        <v>43.400000000000006</v>
      </c>
      <c r="X62" s="329">
        <f t="shared" si="13"/>
        <v>43.50000000000001</v>
      </c>
      <c r="Y62" s="227">
        <f t="shared" si="12"/>
        <v>34</v>
      </c>
      <c r="Z62" s="10"/>
      <c r="AA62" s="227"/>
      <c r="AB62" s="227"/>
      <c r="AC62" s="227"/>
      <c r="AD62" s="10"/>
      <c r="AE62" s="154"/>
      <c r="AF62" s="154"/>
      <c r="AG62" s="154"/>
      <c r="AH62" s="10"/>
    </row>
    <row r="63" spans="1:34" ht="15.75" customHeight="1">
      <c r="A63" s="154"/>
      <c r="B63" s="154"/>
      <c r="C63" s="154"/>
      <c r="D63" s="154"/>
      <c r="E63" s="154"/>
      <c r="F63" s="154"/>
      <c r="G63" s="154"/>
      <c r="H63" s="154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227">
        <f t="shared" si="11"/>
        <v>43.6</v>
      </c>
      <c r="U63" s="227">
        <f t="shared" si="13"/>
        <v>43.7</v>
      </c>
      <c r="V63" s="227">
        <f t="shared" si="13"/>
        <v>43.800000000000004</v>
      </c>
      <c r="W63" s="227">
        <f t="shared" si="13"/>
        <v>43.900000000000006</v>
      </c>
      <c r="X63" s="329">
        <f t="shared" si="13"/>
        <v>44.00000000000001</v>
      </c>
      <c r="Y63" s="227">
        <f t="shared" si="12"/>
        <v>33</v>
      </c>
      <c r="Z63" s="10"/>
      <c r="AA63" s="227"/>
      <c r="AB63" s="227"/>
      <c r="AC63" s="227"/>
      <c r="AD63" s="10"/>
      <c r="AE63" s="154"/>
      <c r="AF63" s="154"/>
      <c r="AG63" s="154"/>
      <c r="AH63" s="10"/>
    </row>
    <row r="64" spans="1:34" ht="15.75" customHeight="1">
      <c r="A64" s="154"/>
      <c r="B64" s="154"/>
      <c r="C64" s="154"/>
      <c r="D64" s="154"/>
      <c r="E64" s="154"/>
      <c r="F64" s="154"/>
      <c r="G64" s="154"/>
      <c r="H64" s="154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227">
        <f t="shared" si="11"/>
        <v>44.1</v>
      </c>
      <c r="U64" s="227">
        <f t="shared" si="13"/>
        <v>44.2</v>
      </c>
      <c r="V64" s="227">
        <f t="shared" si="13"/>
        <v>44.300000000000004</v>
      </c>
      <c r="W64" s="227">
        <f t="shared" si="13"/>
        <v>44.400000000000006</v>
      </c>
      <c r="X64" s="329">
        <f t="shared" si="13"/>
        <v>44.50000000000001</v>
      </c>
      <c r="Y64" s="227">
        <f t="shared" si="12"/>
        <v>33</v>
      </c>
      <c r="Z64" s="10"/>
      <c r="AA64" s="227"/>
      <c r="AB64" s="227"/>
      <c r="AC64" s="227"/>
      <c r="AD64" s="10"/>
      <c r="AE64" s="154"/>
      <c r="AF64" s="154"/>
      <c r="AG64" s="154"/>
      <c r="AH64" s="10"/>
    </row>
    <row r="65" spans="1:34" ht="15.75" customHeight="1">
      <c r="A65" s="154"/>
      <c r="B65" s="154"/>
      <c r="C65" s="154"/>
      <c r="D65" s="154"/>
      <c r="E65" s="154"/>
      <c r="F65" s="154"/>
      <c r="G65" s="154"/>
      <c r="H65" s="154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227">
        <f t="shared" si="11"/>
        <v>44.6</v>
      </c>
      <c r="U65" s="227">
        <f t="shared" si="13"/>
        <v>44.7</v>
      </c>
      <c r="V65" s="227">
        <f t="shared" si="13"/>
        <v>44.800000000000004</v>
      </c>
      <c r="W65" s="227">
        <f t="shared" si="13"/>
        <v>44.900000000000006</v>
      </c>
      <c r="X65" s="329">
        <f t="shared" si="13"/>
        <v>45.00000000000001</v>
      </c>
      <c r="Y65" s="227">
        <f t="shared" si="12"/>
        <v>32</v>
      </c>
      <c r="Z65" s="10"/>
      <c r="AA65" s="227"/>
      <c r="AB65" s="227"/>
      <c r="AC65" s="227"/>
      <c r="AD65" s="10"/>
      <c r="AE65" s="154"/>
      <c r="AF65" s="154"/>
      <c r="AG65" s="154"/>
      <c r="AH65" s="10"/>
    </row>
    <row r="66" spans="1:34" ht="15.75" customHeight="1">
      <c r="A66" s="154"/>
      <c r="B66" s="154"/>
      <c r="C66" s="154"/>
      <c r="D66" s="154"/>
      <c r="E66" s="154"/>
      <c r="F66" s="154"/>
      <c r="G66" s="154"/>
      <c r="H66" s="154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227">
        <f t="shared" si="11"/>
        <v>45.1</v>
      </c>
      <c r="U66" s="227">
        <f t="shared" si="13"/>
        <v>45.2</v>
      </c>
      <c r="V66" s="227">
        <f t="shared" si="13"/>
        <v>45.300000000000004</v>
      </c>
      <c r="W66" s="227">
        <f t="shared" si="13"/>
        <v>45.400000000000006</v>
      </c>
      <c r="X66" s="329">
        <f t="shared" si="13"/>
        <v>45.50000000000001</v>
      </c>
      <c r="Y66" s="227">
        <f t="shared" si="12"/>
        <v>32</v>
      </c>
      <c r="Z66" s="10"/>
      <c r="AA66" s="227"/>
      <c r="AB66" s="227"/>
      <c r="AC66" s="227"/>
      <c r="AD66" s="10"/>
      <c r="AE66" s="154"/>
      <c r="AF66" s="154"/>
      <c r="AG66" s="154"/>
      <c r="AH66" s="10"/>
    </row>
    <row r="67" spans="1:34" ht="15.75" customHeight="1">
      <c r="A67" s="154"/>
      <c r="B67" s="154"/>
      <c r="C67" s="154"/>
      <c r="D67" s="154"/>
      <c r="E67" s="154"/>
      <c r="F67" s="154"/>
      <c r="G67" s="154"/>
      <c r="H67" s="154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227">
        <f t="shared" si="11"/>
        <v>45.6</v>
      </c>
      <c r="U67" s="227">
        <f t="shared" si="13"/>
        <v>45.7</v>
      </c>
      <c r="V67" s="227">
        <f t="shared" si="13"/>
        <v>45.800000000000004</v>
      </c>
      <c r="W67" s="227">
        <f t="shared" si="13"/>
        <v>45.900000000000006</v>
      </c>
      <c r="X67" s="329">
        <f t="shared" si="13"/>
        <v>46.00000000000001</v>
      </c>
      <c r="Y67" s="227">
        <f t="shared" si="12"/>
        <v>31</v>
      </c>
      <c r="Z67" s="10"/>
      <c r="AA67" s="227"/>
      <c r="AB67" s="227"/>
      <c r="AC67" s="227"/>
      <c r="AD67" s="10"/>
      <c r="AE67" s="154"/>
      <c r="AF67" s="154"/>
      <c r="AG67" s="154"/>
      <c r="AH67" s="10"/>
    </row>
    <row r="68" spans="1:34" ht="15.75" customHeight="1">
      <c r="A68" s="154"/>
      <c r="B68" s="154"/>
      <c r="C68" s="154"/>
      <c r="D68" s="154"/>
      <c r="E68" s="154"/>
      <c r="F68" s="154"/>
      <c r="G68" s="154"/>
      <c r="H68" s="154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227">
        <f t="shared" si="11"/>
        <v>46.1</v>
      </c>
      <c r="U68" s="227">
        <f aca="true" t="shared" si="14" ref="U68:X87">T68+0.1</f>
        <v>46.2</v>
      </c>
      <c r="V68" s="227">
        <f t="shared" si="14"/>
        <v>46.300000000000004</v>
      </c>
      <c r="W68" s="227">
        <f t="shared" si="14"/>
        <v>46.400000000000006</v>
      </c>
      <c r="X68" s="329">
        <f t="shared" si="14"/>
        <v>46.50000000000001</v>
      </c>
      <c r="Y68" s="227">
        <f t="shared" si="12"/>
        <v>31</v>
      </c>
      <c r="Z68" s="10"/>
      <c r="AA68" s="227"/>
      <c r="AB68" s="227"/>
      <c r="AC68" s="227"/>
      <c r="AD68" s="10"/>
      <c r="AE68" s="154"/>
      <c r="AF68" s="154"/>
      <c r="AG68" s="154"/>
      <c r="AH68" s="10"/>
    </row>
    <row r="69" spans="1:34" ht="15.75" customHeight="1">
      <c r="A69" s="154"/>
      <c r="B69" s="154"/>
      <c r="C69" s="154"/>
      <c r="D69" s="154"/>
      <c r="E69" s="154"/>
      <c r="F69" s="154"/>
      <c r="G69" s="154"/>
      <c r="H69" s="154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227">
        <f t="shared" si="11"/>
        <v>46.6</v>
      </c>
      <c r="U69" s="227">
        <f t="shared" si="14"/>
        <v>46.7</v>
      </c>
      <c r="V69" s="227">
        <f t="shared" si="14"/>
        <v>46.800000000000004</v>
      </c>
      <c r="W69" s="227">
        <f t="shared" si="14"/>
        <v>46.900000000000006</v>
      </c>
      <c r="X69" s="329">
        <f t="shared" si="14"/>
        <v>47.00000000000001</v>
      </c>
      <c r="Y69" s="227">
        <f t="shared" si="12"/>
        <v>30</v>
      </c>
      <c r="Z69" s="10"/>
      <c r="AA69" s="227"/>
      <c r="AB69" s="227"/>
      <c r="AC69" s="227"/>
      <c r="AD69" s="10"/>
      <c r="AE69" s="154"/>
      <c r="AF69" s="154"/>
      <c r="AG69" s="154"/>
      <c r="AH69" s="10"/>
    </row>
    <row r="70" spans="1:34" ht="15.75" customHeight="1">
      <c r="A70" s="154"/>
      <c r="B70" s="154"/>
      <c r="C70" s="154"/>
      <c r="D70" s="154"/>
      <c r="E70" s="154"/>
      <c r="F70" s="154"/>
      <c r="G70" s="154"/>
      <c r="H70" s="154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227">
        <f t="shared" si="11"/>
        <v>47.1</v>
      </c>
      <c r="U70" s="227">
        <f t="shared" si="14"/>
        <v>47.2</v>
      </c>
      <c r="V70" s="227">
        <f t="shared" si="14"/>
        <v>47.300000000000004</v>
      </c>
      <c r="W70" s="227">
        <f t="shared" si="14"/>
        <v>47.400000000000006</v>
      </c>
      <c r="X70" s="329">
        <f t="shared" si="14"/>
        <v>47.50000000000001</v>
      </c>
      <c r="Y70" s="227">
        <f t="shared" si="12"/>
        <v>30</v>
      </c>
      <c r="Z70" s="10"/>
      <c r="AA70" s="227"/>
      <c r="AB70" s="227"/>
      <c r="AC70" s="227"/>
      <c r="AD70" s="10"/>
      <c r="AE70" s="154"/>
      <c r="AF70" s="154"/>
      <c r="AG70" s="154"/>
      <c r="AH70" s="10"/>
    </row>
    <row r="71" spans="1:34" ht="15.75" customHeight="1">
      <c r="A71" s="154"/>
      <c r="B71" s="154"/>
      <c r="C71" s="154"/>
      <c r="D71" s="154"/>
      <c r="E71" s="154"/>
      <c r="F71" s="154"/>
      <c r="G71" s="154"/>
      <c r="H71" s="154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227">
        <f t="shared" si="11"/>
        <v>47.6</v>
      </c>
      <c r="U71" s="227">
        <f t="shared" si="14"/>
        <v>47.7</v>
      </c>
      <c r="V71" s="227">
        <f t="shared" si="14"/>
        <v>47.800000000000004</v>
      </c>
      <c r="W71" s="227">
        <f t="shared" si="14"/>
        <v>47.900000000000006</v>
      </c>
      <c r="X71" s="329">
        <f t="shared" si="14"/>
        <v>48.00000000000001</v>
      </c>
      <c r="Y71" s="227">
        <f t="shared" si="12"/>
        <v>29</v>
      </c>
      <c r="Z71" s="10"/>
      <c r="AA71" s="227"/>
      <c r="AB71" s="227"/>
      <c r="AC71" s="227"/>
      <c r="AD71" s="10"/>
      <c r="AE71" s="154"/>
      <c r="AF71" s="154"/>
      <c r="AG71" s="154"/>
      <c r="AH71" s="10"/>
    </row>
    <row r="72" spans="1:34" ht="15.75" customHeight="1">
      <c r="A72" s="154"/>
      <c r="B72" s="154"/>
      <c r="C72" s="154"/>
      <c r="D72" s="154"/>
      <c r="E72" s="154"/>
      <c r="F72" s="154"/>
      <c r="G72" s="154"/>
      <c r="H72" s="154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227">
        <f t="shared" si="11"/>
        <v>48.1</v>
      </c>
      <c r="U72" s="227">
        <f t="shared" si="14"/>
        <v>48.2</v>
      </c>
      <c r="V72" s="227">
        <f t="shared" si="14"/>
        <v>48.300000000000004</v>
      </c>
      <c r="W72" s="227">
        <f t="shared" si="14"/>
        <v>48.400000000000006</v>
      </c>
      <c r="X72" s="329">
        <f t="shared" si="14"/>
        <v>48.50000000000001</v>
      </c>
      <c r="Y72" s="227">
        <f t="shared" si="12"/>
        <v>29</v>
      </c>
      <c r="Z72" s="10"/>
      <c r="AA72" s="227"/>
      <c r="AB72" s="227"/>
      <c r="AC72" s="227"/>
      <c r="AD72" s="10"/>
      <c r="AE72" s="154"/>
      <c r="AF72" s="154"/>
      <c r="AG72" s="154"/>
      <c r="AH72" s="10"/>
    </row>
    <row r="73" spans="1:34" ht="15.75" customHeight="1">
      <c r="A73" s="154"/>
      <c r="B73" s="154"/>
      <c r="C73" s="154"/>
      <c r="D73" s="154"/>
      <c r="E73" s="154"/>
      <c r="F73" s="154"/>
      <c r="G73" s="154"/>
      <c r="H73" s="154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227">
        <f aca="true" t="shared" si="15" ref="T73:T104">T72+0.5</f>
        <v>48.6</v>
      </c>
      <c r="U73" s="227">
        <f t="shared" si="14"/>
        <v>48.7</v>
      </c>
      <c r="V73" s="227">
        <f t="shared" si="14"/>
        <v>48.800000000000004</v>
      </c>
      <c r="W73" s="227">
        <f t="shared" si="14"/>
        <v>48.900000000000006</v>
      </c>
      <c r="X73" s="329">
        <f t="shared" si="14"/>
        <v>49.00000000000001</v>
      </c>
      <c r="Y73" s="227">
        <f t="shared" si="12"/>
        <v>28</v>
      </c>
      <c r="Z73" s="10"/>
      <c r="AA73" s="227"/>
      <c r="AB73" s="227"/>
      <c r="AC73" s="227"/>
      <c r="AD73" s="10"/>
      <c r="AE73" s="154"/>
      <c r="AF73" s="154"/>
      <c r="AG73" s="154"/>
      <c r="AH73" s="10"/>
    </row>
    <row r="74" spans="1:34" ht="15.75" customHeight="1">
      <c r="A74" s="154"/>
      <c r="B74" s="154"/>
      <c r="C74" s="154"/>
      <c r="D74" s="154"/>
      <c r="E74" s="154"/>
      <c r="F74" s="154"/>
      <c r="G74" s="154"/>
      <c r="H74" s="154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227">
        <f t="shared" si="15"/>
        <v>49.1</v>
      </c>
      <c r="U74" s="227">
        <f t="shared" si="14"/>
        <v>49.2</v>
      </c>
      <c r="V74" s="227">
        <f t="shared" si="14"/>
        <v>49.300000000000004</v>
      </c>
      <c r="W74" s="227">
        <f t="shared" si="14"/>
        <v>49.400000000000006</v>
      </c>
      <c r="X74" s="329">
        <f t="shared" si="14"/>
        <v>49.50000000000001</v>
      </c>
      <c r="Y74" s="227">
        <f aca="true" t="shared" si="16" ref="Y74:Y105">Y72-1</f>
        <v>28</v>
      </c>
      <c r="Z74" s="10"/>
      <c r="AA74" s="227"/>
      <c r="AB74" s="227"/>
      <c r="AC74" s="227"/>
      <c r="AD74" s="10"/>
      <c r="AE74" s="154"/>
      <c r="AF74" s="154"/>
      <c r="AG74" s="154"/>
      <c r="AH74" s="10"/>
    </row>
    <row r="75" spans="1:34" ht="15.75" customHeight="1">
      <c r="A75" s="154"/>
      <c r="B75" s="154"/>
      <c r="C75" s="154"/>
      <c r="D75" s="154"/>
      <c r="E75" s="154"/>
      <c r="F75" s="154"/>
      <c r="G75" s="154"/>
      <c r="H75" s="154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227">
        <f t="shared" si="15"/>
        <v>49.6</v>
      </c>
      <c r="U75" s="227">
        <f t="shared" si="14"/>
        <v>49.7</v>
      </c>
      <c r="V75" s="227">
        <f t="shared" si="14"/>
        <v>49.800000000000004</v>
      </c>
      <c r="W75" s="227">
        <f t="shared" si="14"/>
        <v>49.900000000000006</v>
      </c>
      <c r="X75" s="329">
        <f t="shared" si="14"/>
        <v>50.00000000000001</v>
      </c>
      <c r="Y75" s="227">
        <f t="shared" si="16"/>
        <v>27</v>
      </c>
      <c r="Z75" s="10"/>
      <c r="AA75" s="227"/>
      <c r="AB75" s="227"/>
      <c r="AC75" s="227"/>
      <c r="AD75" s="10"/>
      <c r="AE75" s="154"/>
      <c r="AF75" s="154"/>
      <c r="AG75" s="154"/>
      <c r="AH75" s="10"/>
    </row>
    <row r="76" spans="1:34" ht="15.75" customHeight="1">
      <c r="A76" s="154"/>
      <c r="B76" s="154"/>
      <c r="C76" s="154"/>
      <c r="D76" s="154"/>
      <c r="E76" s="154"/>
      <c r="F76" s="154"/>
      <c r="G76" s="154"/>
      <c r="H76" s="154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227">
        <f t="shared" si="15"/>
        <v>50.1</v>
      </c>
      <c r="U76" s="227">
        <f t="shared" si="14"/>
        <v>50.2</v>
      </c>
      <c r="V76" s="227">
        <f t="shared" si="14"/>
        <v>50.300000000000004</v>
      </c>
      <c r="W76" s="227">
        <f t="shared" si="14"/>
        <v>50.400000000000006</v>
      </c>
      <c r="X76" s="329">
        <f t="shared" si="14"/>
        <v>50.50000000000001</v>
      </c>
      <c r="Y76" s="227">
        <f t="shared" si="16"/>
        <v>27</v>
      </c>
      <c r="Z76" s="10"/>
      <c r="AA76" s="227"/>
      <c r="AB76" s="227"/>
      <c r="AC76" s="227"/>
      <c r="AD76" s="10"/>
      <c r="AE76" s="154"/>
      <c r="AF76" s="154"/>
      <c r="AG76" s="154"/>
      <c r="AH76" s="10"/>
    </row>
    <row r="77" spans="1:34" ht="15.75" customHeight="1">
      <c r="A77" s="154"/>
      <c r="B77" s="154"/>
      <c r="C77" s="154"/>
      <c r="D77" s="154"/>
      <c r="E77" s="154"/>
      <c r="F77" s="154"/>
      <c r="G77" s="154"/>
      <c r="H77" s="154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227">
        <f t="shared" si="15"/>
        <v>50.6</v>
      </c>
      <c r="U77" s="227">
        <f t="shared" si="14"/>
        <v>50.7</v>
      </c>
      <c r="V77" s="227">
        <f t="shared" si="14"/>
        <v>50.800000000000004</v>
      </c>
      <c r="W77" s="227">
        <f t="shared" si="14"/>
        <v>50.900000000000006</v>
      </c>
      <c r="X77" s="329">
        <f t="shared" si="14"/>
        <v>51.00000000000001</v>
      </c>
      <c r="Y77" s="227">
        <f t="shared" si="16"/>
        <v>26</v>
      </c>
      <c r="Z77" s="10"/>
      <c r="AA77" s="227"/>
      <c r="AB77" s="227"/>
      <c r="AC77" s="227"/>
      <c r="AD77" s="10"/>
      <c r="AE77" s="154"/>
      <c r="AF77" s="154"/>
      <c r="AG77" s="154"/>
      <c r="AH77" s="10"/>
    </row>
    <row r="78" spans="1:34" ht="15.75" customHeight="1">
      <c r="A78" s="154"/>
      <c r="B78" s="154"/>
      <c r="C78" s="154"/>
      <c r="D78" s="154"/>
      <c r="E78" s="154"/>
      <c r="F78" s="154"/>
      <c r="G78" s="154"/>
      <c r="H78" s="154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227">
        <f t="shared" si="15"/>
        <v>51.1</v>
      </c>
      <c r="U78" s="227">
        <f t="shared" si="14"/>
        <v>51.2</v>
      </c>
      <c r="V78" s="227">
        <f t="shared" si="14"/>
        <v>51.300000000000004</v>
      </c>
      <c r="W78" s="227">
        <f t="shared" si="14"/>
        <v>51.400000000000006</v>
      </c>
      <c r="X78" s="329">
        <f t="shared" si="14"/>
        <v>51.50000000000001</v>
      </c>
      <c r="Y78" s="227">
        <f t="shared" si="16"/>
        <v>26</v>
      </c>
      <c r="Z78" s="10"/>
      <c r="AA78" s="227"/>
      <c r="AB78" s="227"/>
      <c r="AC78" s="227"/>
      <c r="AD78" s="10"/>
      <c r="AE78" s="154"/>
      <c r="AF78" s="154"/>
      <c r="AG78" s="154"/>
      <c r="AH78" s="10"/>
    </row>
    <row r="79" spans="1:34" ht="15.75" customHeight="1">
      <c r="A79" s="154"/>
      <c r="B79" s="154"/>
      <c r="C79" s="154"/>
      <c r="D79" s="154"/>
      <c r="E79" s="154"/>
      <c r="F79" s="154"/>
      <c r="G79" s="154"/>
      <c r="H79" s="154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227">
        <f t="shared" si="15"/>
        <v>51.6</v>
      </c>
      <c r="U79" s="227">
        <f t="shared" si="14"/>
        <v>51.7</v>
      </c>
      <c r="V79" s="227">
        <f t="shared" si="14"/>
        <v>51.800000000000004</v>
      </c>
      <c r="W79" s="227">
        <f t="shared" si="14"/>
        <v>51.900000000000006</v>
      </c>
      <c r="X79" s="329">
        <f t="shared" si="14"/>
        <v>52.00000000000001</v>
      </c>
      <c r="Y79" s="227">
        <f t="shared" si="16"/>
        <v>25</v>
      </c>
      <c r="Z79" s="10"/>
      <c r="AA79" s="227"/>
      <c r="AB79" s="227"/>
      <c r="AC79" s="227"/>
      <c r="AD79" s="10"/>
      <c r="AE79" s="154"/>
      <c r="AF79" s="154"/>
      <c r="AG79" s="154"/>
      <c r="AH79" s="10"/>
    </row>
    <row r="80" spans="1:34" ht="15.75" customHeight="1">
      <c r="A80" s="154"/>
      <c r="B80" s="154"/>
      <c r="C80" s="154"/>
      <c r="D80" s="154"/>
      <c r="E80" s="154"/>
      <c r="F80" s="154"/>
      <c r="G80" s="154"/>
      <c r="H80" s="154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227">
        <f t="shared" si="15"/>
        <v>52.1</v>
      </c>
      <c r="U80" s="227">
        <f t="shared" si="14"/>
        <v>52.2</v>
      </c>
      <c r="V80" s="227">
        <f t="shared" si="14"/>
        <v>52.300000000000004</v>
      </c>
      <c r="W80" s="227">
        <f t="shared" si="14"/>
        <v>52.400000000000006</v>
      </c>
      <c r="X80" s="329">
        <f t="shared" si="14"/>
        <v>52.50000000000001</v>
      </c>
      <c r="Y80" s="227">
        <f t="shared" si="16"/>
        <v>25</v>
      </c>
      <c r="Z80" s="10"/>
      <c r="AA80" s="227"/>
      <c r="AB80" s="227"/>
      <c r="AC80" s="227"/>
      <c r="AD80" s="10"/>
      <c r="AE80" s="154"/>
      <c r="AF80" s="154"/>
      <c r="AG80" s="154"/>
      <c r="AH80" s="10"/>
    </row>
    <row r="81" spans="1:34" ht="15.75" customHeight="1">
      <c r="A81" s="154"/>
      <c r="B81" s="154"/>
      <c r="C81" s="154"/>
      <c r="D81" s="154"/>
      <c r="E81" s="154"/>
      <c r="F81" s="154"/>
      <c r="G81" s="154"/>
      <c r="H81" s="154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227">
        <f t="shared" si="15"/>
        <v>52.6</v>
      </c>
      <c r="U81" s="227">
        <f t="shared" si="14"/>
        <v>52.7</v>
      </c>
      <c r="V81" s="227">
        <f t="shared" si="14"/>
        <v>52.800000000000004</v>
      </c>
      <c r="W81" s="227">
        <f t="shared" si="14"/>
        <v>52.900000000000006</v>
      </c>
      <c r="X81" s="329">
        <f t="shared" si="14"/>
        <v>53.00000000000001</v>
      </c>
      <c r="Y81" s="227">
        <f t="shared" si="16"/>
        <v>24</v>
      </c>
      <c r="Z81" s="10"/>
      <c r="AA81" s="227"/>
      <c r="AB81" s="227"/>
      <c r="AC81" s="227"/>
      <c r="AD81" s="10"/>
      <c r="AE81" s="154"/>
      <c r="AF81" s="154"/>
      <c r="AG81" s="154"/>
      <c r="AH81" s="10"/>
    </row>
    <row r="82" spans="1:34" ht="15.75" customHeight="1">
      <c r="A82" s="154"/>
      <c r="B82" s="154"/>
      <c r="C82" s="154"/>
      <c r="D82" s="154"/>
      <c r="E82" s="154"/>
      <c r="F82" s="154"/>
      <c r="G82" s="154"/>
      <c r="H82" s="154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227">
        <f t="shared" si="15"/>
        <v>53.1</v>
      </c>
      <c r="U82" s="227">
        <f t="shared" si="14"/>
        <v>53.2</v>
      </c>
      <c r="V82" s="227">
        <f t="shared" si="14"/>
        <v>53.300000000000004</v>
      </c>
      <c r="W82" s="227">
        <f t="shared" si="14"/>
        <v>53.400000000000006</v>
      </c>
      <c r="X82" s="329">
        <f t="shared" si="14"/>
        <v>53.50000000000001</v>
      </c>
      <c r="Y82" s="227">
        <f t="shared" si="16"/>
        <v>24</v>
      </c>
      <c r="Z82" s="10"/>
      <c r="AA82" s="227"/>
      <c r="AB82" s="227"/>
      <c r="AC82" s="227"/>
      <c r="AD82" s="10"/>
      <c r="AE82" s="154"/>
      <c r="AF82" s="154"/>
      <c r="AG82" s="154"/>
      <c r="AH82" s="10"/>
    </row>
    <row r="83" spans="1:34" ht="15.75" customHeight="1">
      <c r="A83" s="154"/>
      <c r="B83" s="154"/>
      <c r="C83" s="154"/>
      <c r="D83" s="154"/>
      <c r="E83" s="154"/>
      <c r="F83" s="154"/>
      <c r="G83" s="154"/>
      <c r="H83" s="154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227">
        <f t="shared" si="15"/>
        <v>53.6</v>
      </c>
      <c r="U83" s="227">
        <f t="shared" si="14"/>
        <v>53.7</v>
      </c>
      <c r="V83" s="227">
        <f t="shared" si="14"/>
        <v>53.800000000000004</v>
      </c>
      <c r="W83" s="227">
        <f t="shared" si="14"/>
        <v>53.900000000000006</v>
      </c>
      <c r="X83" s="329">
        <f t="shared" si="14"/>
        <v>54.00000000000001</v>
      </c>
      <c r="Y83" s="227">
        <f t="shared" si="16"/>
        <v>23</v>
      </c>
      <c r="Z83" s="10"/>
      <c r="AA83" s="227"/>
      <c r="AB83" s="227"/>
      <c r="AC83" s="227"/>
      <c r="AD83" s="10"/>
      <c r="AE83" s="154"/>
      <c r="AF83" s="154"/>
      <c r="AG83" s="154"/>
      <c r="AH83" s="10"/>
    </row>
    <row r="84" spans="1:34" ht="15.75" customHeight="1">
      <c r="A84" s="154"/>
      <c r="B84" s="154"/>
      <c r="C84" s="154"/>
      <c r="D84" s="154"/>
      <c r="E84" s="154"/>
      <c r="F84" s="154"/>
      <c r="G84" s="154"/>
      <c r="H84" s="154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227">
        <f t="shared" si="15"/>
        <v>54.1</v>
      </c>
      <c r="U84" s="227">
        <f t="shared" si="14"/>
        <v>54.2</v>
      </c>
      <c r="V84" s="227">
        <f t="shared" si="14"/>
        <v>54.300000000000004</v>
      </c>
      <c r="W84" s="227">
        <f t="shared" si="14"/>
        <v>54.400000000000006</v>
      </c>
      <c r="X84" s="329">
        <f t="shared" si="14"/>
        <v>54.50000000000001</v>
      </c>
      <c r="Y84" s="227">
        <f t="shared" si="16"/>
        <v>23</v>
      </c>
      <c r="Z84" s="10"/>
      <c r="AA84" s="227"/>
      <c r="AB84" s="227"/>
      <c r="AC84" s="227"/>
      <c r="AD84" s="10"/>
      <c r="AE84" s="154"/>
      <c r="AF84" s="154"/>
      <c r="AG84" s="154"/>
      <c r="AH84" s="10"/>
    </row>
    <row r="85" spans="1:34" ht="15.75" customHeight="1">
      <c r="A85" s="154"/>
      <c r="B85" s="154"/>
      <c r="C85" s="154"/>
      <c r="D85" s="154"/>
      <c r="E85" s="154"/>
      <c r="F85" s="154"/>
      <c r="G85" s="154"/>
      <c r="H85" s="154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227">
        <f t="shared" si="15"/>
        <v>54.6</v>
      </c>
      <c r="U85" s="227">
        <f t="shared" si="14"/>
        <v>54.7</v>
      </c>
      <c r="V85" s="227">
        <f t="shared" si="14"/>
        <v>54.800000000000004</v>
      </c>
      <c r="W85" s="227">
        <f t="shared" si="14"/>
        <v>54.900000000000006</v>
      </c>
      <c r="X85" s="329">
        <f t="shared" si="14"/>
        <v>55.00000000000001</v>
      </c>
      <c r="Y85" s="227">
        <f t="shared" si="16"/>
        <v>22</v>
      </c>
      <c r="Z85" s="10"/>
      <c r="AA85" s="227"/>
      <c r="AB85" s="227"/>
      <c r="AC85" s="227"/>
      <c r="AD85" s="10"/>
      <c r="AE85" s="154"/>
      <c r="AF85" s="154"/>
      <c r="AG85" s="154"/>
      <c r="AH85" s="10"/>
    </row>
    <row r="86" spans="1:34" ht="15.75" customHeight="1">
      <c r="A86" s="154"/>
      <c r="B86" s="154"/>
      <c r="C86" s="154"/>
      <c r="D86" s="154"/>
      <c r="E86" s="154"/>
      <c r="F86" s="154"/>
      <c r="G86" s="154"/>
      <c r="H86" s="154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227">
        <f t="shared" si="15"/>
        <v>55.1</v>
      </c>
      <c r="U86" s="227">
        <f t="shared" si="14"/>
        <v>55.2</v>
      </c>
      <c r="V86" s="227">
        <f t="shared" si="14"/>
        <v>55.300000000000004</v>
      </c>
      <c r="W86" s="227">
        <f t="shared" si="14"/>
        <v>55.400000000000006</v>
      </c>
      <c r="X86" s="329">
        <f t="shared" si="14"/>
        <v>55.50000000000001</v>
      </c>
      <c r="Y86" s="227">
        <f t="shared" si="16"/>
        <v>22</v>
      </c>
      <c r="Z86" s="10"/>
      <c r="AA86" s="227"/>
      <c r="AB86" s="227"/>
      <c r="AC86" s="227"/>
      <c r="AD86" s="10"/>
      <c r="AE86" s="154"/>
      <c r="AF86" s="154"/>
      <c r="AG86" s="154"/>
      <c r="AH86" s="10"/>
    </row>
    <row r="87" spans="1:34" ht="15.75" customHeight="1">
      <c r="A87" s="154"/>
      <c r="B87" s="154"/>
      <c r="C87" s="154"/>
      <c r="D87" s="154"/>
      <c r="E87" s="154"/>
      <c r="F87" s="154"/>
      <c r="G87" s="154"/>
      <c r="H87" s="154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227">
        <f t="shared" si="15"/>
        <v>55.6</v>
      </c>
      <c r="U87" s="227">
        <f t="shared" si="14"/>
        <v>55.7</v>
      </c>
      <c r="V87" s="227">
        <f t="shared" si="14"/>
        <v>55.800000000000004</v>
      </c>
      <c r="W87" s="227">
        <f t="shared" si="14"/>
        <v>55.900000000000006</v>
      </c>
      <c r="X87" s="329">
        <f t="shared" si="14"/>
        <v>56.00000000000001</v>
      </c>
      <c r="Y87" s="227">
        <f t="shared" si="16"/>
        <v>21</v>
      </c>
      <c r="Z87" s="10"/>
      <c r="AA87" s="227"/>
      <c r="AB87" s="227"/>
      <c r="AC87" s="227"/>
      <c r="AD87" s="10"/>
      <c r="AE87" s="154"/>
      <c r="AF87" s="154"/>
      <c r="AG87" s="154"/>
      <c r="AH87" s="10"/>
    </row>
    <row r="88" spans="1:34" ht="15.75" customHeight="1">
      <c r="A88" s="154"/>
      <c r="B88" s="154"/>
      <c r="C88" s="154"/>
      <c r="D88" s="154"/>
      <c r="E88" s="154"/>
      <c r="F88" s="154"/>
      <c r="G88" s="154"/>
      <c r="H88" s="154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227">
        <f t="shared" si="15"/>
        <v>56.1</v>
      </c>
      <c r="U88" s="227">
        <f aca="true" t="shared" si="17" ref="U88:X107">T88+0.1</f>
        <v>56.2</v>
      </c>
      <c r="V88" s="227">
        <f t="shared" si="17"/>
        <v>56.300000000000004</v>
      </c>
      <c r="W88" s="227">
        <f t="shared" si="17"/>
        <v>56.400000000000006</v>
      </c>
      <c r="X88" s="329">
        <f t="shared" si="17"/>
        <v>56.50000000000001</v>
      </c>
      <c r="Y88" s="227">
        <f t="shared" si="16"/>
        <v>21</v>
      </c>
      <c r="Z88" s="10"/>
      <c r="AA88" s="227"/>
      <c r="AB88" s="227"/>
      <c r="AC88" s="227"/>
      <c r="AD88" s="10"/>
      <c r="AE88" s="154"/>
      <c r="AF88" s="154"/>
      <c r="AG88" s="154"/>
      <c r="AH88" s="10"/>
    </row>
    <row r="89" spans="1:34" ht="15.75" customHeight="1">
      <c r="A89" s="154"/>
      <c r="B89" s="154"/>
      <c r="C89" s="154"/>
      <c r="D89" s="154"/>
      <c r="E89" s="154"/>
      <c r="F89" s="154"/>
      <c r="G89" s="154"/>
      <c r="H89" s="154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227">
        <f t="shared" si="15"/>
        <v>56.6</v>
      </c>
      <c r="U89" s="227">
        <f t="shared" si="17"/>
        <v>56.7</v>
      </c>
      <c r="V89" s="227">
        <f t="shared" si="17"/>
        <v>56.800000000000004</v>
      </c>
      <c r="W89" s="227">
        <f t="shared" si="17"/>
        <v>56.900000000000006</v>
      </c>
      <c r="X89" s="329">
        <f t="shared" si="17"/>
        <v>57.00000000000001</v>
      </c>
      <c r="Y89" s="227">
        <f t="shared" si="16"/>
        <v>20</v>
      </c>
      <c r="Z89" s="10"/>
      <c r="AA89" s="227"/>
      <c r="AB89" s="227"/>
      <c r="AC89" s="227"/>
      <c r="AD89" s="10"/>
      <c r="AE89" s="154"/>
      <c r="AF89" s="154"/>
      <c r="AG89" s="154"/>
      <c r="AH89" s="10"/>
    </row>
    <row r="90" spans="1:34" ht="15.75" customHeight="1">
      <c r="A90" s="154"/>
      <c r="B90" s="154"/>
      <c r="C90" s="154"/>
      <c r="D90" s="154"/>
      <c r="E90" s="154"/>
      <c r="F90" s="154"/>
      <c r="G90" s="154"/>
      <c r="H90" s="154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227">
        <f t="shared" si="15"/>
        <v>57.1</v>
      </c>
      <c r="U90" s="227">
        <f t="shared" si="17"/>
        <v>57.2</v>
      </c>
      <c r="V90" s="227">
        <f t="shared" si="17"/>
        <v>57.300000000000004</v>
      </c>
      <c r="W90" s="227">
        <f t="shared" si="17"/>
        <v>57.400000000000006</v>
      </c>
      <c r="X90" s="329">
        <f t="shared" si="17"/>
        <v>57.50000000000001</v>
      </c>
      <c r="Y90" s="227">
        <f t="shared" si="16"/>
        <v>20</v>
      </c>
      <c r="Z90" s="10"/>
      <c r="AA90" s="227"/>
      <c r="AB90" s="227"/>
      <c r="AC90" s="227"/>
      <c r="AD90" s="10"/>
      <c r="AE90" s="154"/>
      <c r="AF90" s="154"/>
      <c r="AG90" s="154"/>
      <c r="AH90" s="10"/>
    </row>
    <row r="91" spans="1:34" ht="15.75" customHeight="1">
      <c r="A91" s="154"/>
      <c r="B91" s="154"/>
      <c r="C91" s="154"/>
      <c r="D91" s="154"/>
      <c r="E91" s="154"/>
      <c r="F91" s="154"/>
      <c r="G91" s="154"/>
      <c r="H91" s="154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227">
        <f t="shared" si="15"/>
        <v>57.6</v>
      </c>
      <c r="U91" s="227">
        <f t="shared" si="17"/>
        <v>57.7</v>
      </c>
      <c r="V91" s="227">
        <f t="shared" si="17"/>
        <v>57.800000000000004</v>
      </c>
      <c r="W91" s="227">
        <f t="shared" si="17"/>
        <v>57.900000000000006</v>
      </c>
      <c r="X91" s="329">
        <f t="shared" si="17"/>
        <v>58.00000000000001</v>
      </c>
      <c r="Y91" s="227">
        <f t="shared" si="16"/>
        <v>19</v>
      </c>
      <c r="Z91" s="10"/>
      <c r="AA91" s="227"/>
      <c r="AB91" s="227"/>
      <c r="AC91" s="227"/>
      <c r="AD91" s="10"/>
      <c r="AE91" s="154"/>
      <c r="AF91" s="154"/>
      <c r="AG91" s="154"/>
      <c r="AH91" s="10"/>
    </row>
    <row r="92" spans="1:34" ht="15.75" customHeight="1">
      <c r="A92" s="154"/>
      <c r="B92" s="154"/>
      <c r="C92" s="154"/>
      <c r="D92" s="154"/>
      <c r="E92" s="154"/>
      <c r="F92" s="154"/>
      <c r="G92" s="154"/>
      <c r="H92" s="154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227">
        <f t="shared" si="15"/>
        <v>58.1</v>
      </c>
      <c r="U92" s="227">
        <f t="shared" si="17"/>
        <v>58.2</v>
      </c>
      <c r="V92" s="227">
        <f t="shared" si="17"/>
        <v>58.300000000000004</v>
      </c>
      <c r="W92" s="227">
        <f t="shared" si="17"/>
        <v>58.400000000000006</v>
      </c>
      <c r="X92" s="329">
        <f t="shared" si="17"/>
        <v>58.50000000000001</v>
      </c>
      <c r="Y92" s="227">
        <f t="shared" si="16"/>
        <v>19</v>
      </c>
      <c r="Z92" s="10"/>
      <c r="AA92" s="227"/>
      <c r="AB92" s="227"/>
      <c r="AC92" s="227"/>
      <c r="AD92" s="10"/>
      <c r="AE92" s="154"/>
      <c r="AF92" s="154"/>
      <c r="AG92" s="154"/>
      <c r="AH92" s="10"/>
    </row>
    <row r="93" spans="1:34" ht="15.75" customHeight="1">
      <c r="A93" s="154"/>
      <c r="B93" s="154"/>
      <c r="C93" s="154"/>
      <c r="D93" s="154"/>
      <c r="E93" s="154"/>
      <c r="F93" s="154"/>
      <c r="G93" s="154"/>
      <c r="H93" s="154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227">
        <f t="shared" si="15"/>
        <v>58.6</v>
      </c>
      <c r="U93" s="227">
        <f t="shared" si="17"/>
        <v>58.7</v>
      </c>
      <c r="V93" s="227">
        <f t="shared" si="17"/>
        <v>58.800000000000004</v>
      </c>
      <c r="W93" s="227">
        <f t="shared" si="17"/>
        <v>58.900000000000006</v>
      </c>
      <c r="X93" s="329">
        <f t="shared" si="17"/>
        <v>59.00000000000001</v>
      </c>
      <c r="Y93" s="227">
        <f t="shared" si="16"/>
        <v>18</v>
      </c>
      <c r="Z93" s="10"/>
      <c r="AA93" s="227"/>
      <c r="AB93" s="227"/>
      <c r="AC93" s="227"/>
      <c r="AD93" s="10"/>
      <c r="AE93" s="154"/>
      <c r="AF93" s="154"/>
      <c r="AG93" s="154"/>
      <c r="AH93" s="10"/>
    </row>
    <row r="94" spans="1:34" ht="15.75" customHeight="1">
      <c r="A94" s="154"/>
      <c r="B94" s="154"/>
      <c r="C94" s="154"/>
      <c r="D94" s="154"/>
      <c r="E94" s="154"/>
      <c r="F94" s="154"/>
      <c r="G94" s="154"/>
      <c r="H94" s="154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227">
        <f t="shared" si="15"/>
        <v>59.1</v>
      </c>
      <c r="U94" s="227">
        <f t="shared" si="17"/>
        <v>59.2</v>
      </c>
      <c r="V94" s="227">
        <f t="shared" si="17"/>
        <v>59.300000000000004</v>
      </c>
      <c r="W94" s="227">
        <f t="shared" si="17"/>
        <v>59.400000000000006</v>
      </c>
      <c r="X94" s="329">
        <f t="shared" si="17"/>
        <v>59.50000000000001</v>
      </c>
      <c r="Y94" s="227">
        <f t="shared" si="16"/>
        <v>18</v>
      </c>
      <c r="Z94" s="10"/>
      <c r="AA94" s="227"/>
      <c r="AB94" s="227"/>
      <c r="AC94" s="227"/>
      <c r="AD94" s="10"/>
      <c r="AE94" s="154"/>
      <c r="AF94" s="154"/>
      <c r="AG94" s="154"/>
      <c r="AH94" s="10"/>
    </row>
    <row r="95" spans="1:34" ht="15.75" customHeight="1">
      <c r="A95" s="154"/>
      <c r="B95" s="154"/>
      <c r="C95" s="154"/>
      <c r="D95" s="154"/>
      <c r="E95" s="154"/>
      <c r="F95" s="154"/>
      <c r="G95" s="154"/>
      <c r="H95" s="154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227">
        <f t="shared" si="15"/>
        <v>59.6</v>
      </c>
      <c r="U95" s="227">
        <f t="shared" si="17"/>
        <v>59.7</v>
      </c>
      <c r="V95" s="227">
        <f t="shared" si="17"/>
        <v>59.800000000000004</v>
      </c>
      <c r="W95" s="227">
        <f t="shared" si="17"/>
        <v>59.900000000000006</v>
      </c>
      <c r="X95" s="329">
        <f t="shared" si="17"/>
        <v>60.00000000000001</v>
      </c>
      <c r="Y95" s="227">
        <f t="shared" si="16"/>
        <v>17</v>
      </c>
      <c r="Z95" s="10"/>
      <c r="AA95" s="227"/>
      <c r="AB95" s="227"/>
      <c r="AC95" s="227"/>
      <c r="AD95" s="10"/>
      <c r="AE95" s="154"/>
      <c r="AF95" s="154"/>
      <c r="AG95" s="154"/>
      <c r="AH95" s="10"/>
    </row>
    <row r="96" spans="1:34" ht="15.75" customHeight="1">
      <c r="A96" s="154"/>
      <c r="B96" s="154"/>
      <c r="C96" s="154"/>
      <c r="D96" s="154"/>
      <c r="E96" s="154"/>
      <c r="F96" s="154"/>
      <c r="G96" s="154"/>
      <c r="H96" s="154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227">
        <f t="shared" si="15"/>
        <v>60.1</v>
      </c>
      <c r="U96" s="227">
        <f t="shared" si="17"/>
        <v>60.2</v>
      </c>
      <c r="V96" s="227">
        <f t="shared" si="17"/>
        <v>60.300000000000004</v>
      </c>
      <c r="W96" s="227">
        <f t="shared" si="17"/>
        <v>60.400000000000006</v>
      </c>
      <c r="X96" s="329">
        <f t="shared" si="17"/>
        <v>60.50000000000001</v>
      </c>
      <c r="Y96" s="227">
        <f t="shared" si="16"/>
        <v>17</v>
      </c>
      <c r="Z96" s="10"/>
      <c r="AA96" s="227"/>
      <c r="AB96" s="227"/>
      <c r="AC96" s="227"/>
      <c r="AD96" s="10"/>
      <c r="AE96" s="154"/>
      <c r="AF96" s="154"/>
      <c r="AG96" s="154"/>
      <c r="AH96" s="10"/>
    </row>
    <row r="97" spans="1:34" ht="15.75" customHeight="1">
      <c r="A97" s="154"/>
      <c r="B97" s="154"/>
      <c r="C97" s="154"/>
      <c r="D97" s="154"/>
      <c r="E97" s="154"/>
      <c r="F97" s="154"/>
      <c r="G97" s="154"/>
      <c r="H97" s="154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227">
        <f t="shared" si="15"/>
        <v>60.6</v>
      </c>
      <c r="U97" s="227">
        <f t="shared" si="17"/>
        <v>60.7</v>
      </c>
      <c r="V97" s="227">
        <f t="shared" si="17"/>
        <v>60.800000000000004</v>
      </c>
      <c r="W97" s="227">
        <f t="shared" si="17"/>
        <v>60.900000000000006</v>
      </c>
      <c r="X97" s="329">
        <f t="shared" si="17"/>
        <v>61.00000000000001</v>
      </c>
      <c r="Y97" s="227">
        <f t="shared" si="16"/>
        <v>16</v>
      </c>
      <c r="Z97" s="10"/>
      <c r="AA97" s="227"/>
      <c r="AB97" s="227"/>
      <c r="AC97" s="227"/>
      <c r="AD97" s="10"/>
      <c r="AE97" s="154"/>
      <c r="AF97" s="154"/>
      <c r="AG97" s="154"/>
      <c r="AH97" s="10"/>
    </row>
    <row r="98" spans="1:34" ht="15.75" customHeight="1">
      <c r="A98" s="154"/>
      <c r="B98" s="154"/>
      <c r="C98" s="154"/>
      <c r="D98" s="154"/>
      <c r="E98" s="154"/>
      <c r="F98" s="154"/>
      <c r="G98" s="154"/>
      <c r="H98" s="154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227">
        <f t="shared" si="15"/>
        <v>61.1</v>
      </c>
      <c r="U98" s="227">
        <f t="shared" si="17"/>
        <v>61.2</v>
      </c>
      <c r="V98" s="227">
        <f t="shared" si="17"/>
        <v>61.300000000000004</v>
      </c>
      <c r="W98" s="227">
        <f t="shared" si="17"/>
        <v>61.400000000000006</v>
      </c>
      <c r="X98" s="329">
        <f t="shared" si="17"/>
        <v>61.50000000000001</v>
      </c>
      <c r="Y98" s="227">
        <f t="shared" si="16"/>
        <v>16</v>
      </c>
      <c r="Z98" s="10"/>
      <c r="AA98" s="227"/>
      <c r="AB98" s="227"/>
      <c r="AC98" s="227"/>
      <c r="AD98" s="10"/>
      <c r="AE98" s="154"/>
      <c r="AF98" s="154"/>
      <c r="AG98" s="154"/>
      <c r="AH98" s="10"/>
    </row>
    <row r="99" spans="1:34" ht="15.75" customHeight="1">
      <c r="A99" s="154"/>
      <c r="B99" s="154"/>
      <c r="C99" s="154"/>
      <c r="D99" s="154"/>
      <c r="E99" s="154"/>
      <c r="F99" s="154"/>
      <c r="G99" s="154"/>
      <c r="H99" s="154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227">
        <f t="shared" si="15"/>
        <v>61.6</v>
      </c>
      <c r="U99" s="227">
        <f t="shared" si="17"/>
        <v>61.7</v>
      </c>
      <c r="V99" s="227">
        <f t="shared" si="17"/>
        <v>61.800000000000004</v>
      </c>
      <c r="W99" s="227">
        <f t="shared" si="17"/>
        <v>61.900000000000006</v>
      </c>
      <c r="X99" s="329">
        <f t="shared" si="17"/>
        <v>62.00000000000001</v>
      </c>
      <c r="Y99" s="227">
        <f t="shared" si="16"/>
        <v>15</v>
      </c>
      <c r="Z99" s="10"/>
      <c r="AA99" s="227"/>
      <c r="AB99" s="227"/>
      <c r="AC99" s="227"/>
      <c r="AD99" s="10"/>
      <c r="AE99" s="154"/>
      <c r="AF99" s="154"/>
      <c r="AG99" s="154"/>
      <c r="AH99" s="10"/>
    </row>
    <row r="100" spans="1:34" ht="15.75" customHeight="1">
      <c r="A100" s="154"/>
      <c r="B100" s="154"/>
      <c r="C100" s="154"/>
      <c r="D100" s="154"/>
      <c r="E100" s="154"/>
      <c r="F100" s="154"/>
      <c r="G100" s="154"/>
      <c r="H100" s="154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227">
        <f t="shared" si="15"/>
        <v>62.1</v>
      </c>
      <c r="U100" s="227">
        <f t="shared" si="17"/>
        <v>62.2</v>
      </c>
      <c r="V100" s="227">
        <f t="shared" si="17"/>
        <v>62.300000000000004</v>
      </c>
      <c r="W100" s="227">
        <f t="shared" si="17"/>
        <v>62.400000000000006</v>
      </c>
      <c r="X100" s="329">
        <f t="shared" si="17"/>
        <v>62.50000000000001</v>
      </c>
      <c r="Y100" s="227">
        <f t="shared" si="16"/>
        <v>15</v>
      </c>
      <c r="Z100" s="10"/>
      <c r="AA100" s="227"/>
      <c r="AB100" s="227"/>
      <c r="AC100" s="227"/>
      <c r="AD100" s="10"/>
      <c r="AE100" s="154"/>
      <c r="AF100" s="154"/>
      <c r="AG100" s="154"/>
      <c r="AH100" s="10"/>
    </row>
    <row r="101" spans="1:34" ht="15.75" customHeight="1">
      <c r="A101" s="154"/>
      <c r="B101" s="154"/>
      <c r="C101" s="154"/>
      <c r="D101" s="154"/>
      <c r="E101" s="154"/>
      <c r="F101" s="154"/>
      <c r="G101" s="154"/>
      <c r="H101" s="154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227">
        <f t="shared" si="15"/>
        <v>62.6</v>
      </c>
      <c r="U101" s="227">
        <f t="shared" si="17"/>
        <v>62.7</v>
      </c>
      <c r="V101" s="227">
        <f t="shared" si="17"/>
        <v>62.800000000000004</v>
      </c>
      <c r="W101" s="227">
        <f t="shared" si="17"/>
        <v>62.900000000000006</v>
      </c>
      <c r="X101" s="329">
        <f t="shared" si="17"/>
        <v>63.00000000000001</v>
      </c>
      <c r="Y101" s="227">
        <f t="shared" si="16"/>
        <v>14</v>
      </c>
      <c r="Z101" s="10"/>
      <c r="AA101" s="227"/>
      <c r="AB101" s="227"/>
      <c r="AC101" s="227"/>
      <c r="AD101" s="10"/>
      <c r="AE101" s="154"/>
      <c r="AF101" s="154"/>
      <c r="AG101" s="154"/>
      <c r="AH101" s="10"/>
    </row>
    <row r="102" spans="1:34" ht="15.75" customHeight="1">
      <c r="A102" s="154"/>
      <c r="B102" s="154"/>
      <c r="C102" s="154"/>
      <c r="D102" s="154"/>
      <c r="E102" s="154"/>
      <c r="F102" s="154"/>
      <c r="G102" s="154"/>
      <c r="H102" s="154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227">
        <f t="shared" si="15"/>
        <v>63.1</v>
      </c>
      <c r="U102" s="227">
        <f t="shared" si="17"/>
        <v>63.2</v>
      </c>
      <c r="V102" s="227">
        <f t="shared" si="17"/>
        <v>63.300000000000004</v>
      </c>
      <c r="W102" s="227">
        <f t="shared" si="17"/>
        <v>63.400000000000006</v>
      </c>
      <c r="X102" s="329">
        <f t="shared" si="17"/>
        <v>63.50000000000001</v>
      </c>
      <c r="Y102" s="227">
        <f t="shared" si="16"/>
        <v>14</v>
      </c>
      <c r="Z102" s="10"/>
      <c r="AA102" s="227"/>
      <c r="AB102" s="227"/>
      <c r="AC102" s="227"/>
      <c r="AD102" s="10"/>
      <c r="AE102" s="154"/>
      <c r="AF102" s="154"/>
      <c r="AG102" s="154"/>
      <c r="AH102" s="10"/>
    </row>
    <row r="103" spans="1:34" ht="15.75" customHeight="1">
      <c r="A103" s="154"/>
      <c r="B103" s="154"/>
      <c r="C103" s="154"/>
      <c r="D103" s="154"/>
      <c r="E103" s="154"/>
      <c r="F103" s="154"/>
      <c r="G103" s="154"/>
      <c r="H103" s="154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227">
        <f t="shared" si="15"/>
        <v>63.6</v>
      </c>
      <c r="U103" s="227">
        <f t="shared" si="17"/>
        <v>63.7</v>
      </c>
      <c r="V103" s="227">
        <f t="shared" si="17"/>
        <v>63.800000000000004</v>
      </c>
      <c r="W103" s="227">
        <f t="shared" si="17"/>
        <v>63.900000000000006</v>
      </c>
      <c r="X103" s="329">
        <f t="shared" si="17"/>
        <v>64</v>
      </c>
      <c r="Y103" s="227">
        <f t="shared" si="16"/>
        <v>13</v>
      </c>
      <c r="Z103" s="10"/>
      <c r="AA103" s="227"/>
      <c r="AB103" s="227"/>
      <c r="AC103" s="227"/>
      <c r="AD103" s="10"/>
      <c r="AE103" s="154"/>
      <c r="AF103" s="154"/>
      <c r="AG103" s="154"/>
      <c r="AH103" s="10"/>
    </row>
    <row r="104" spans="1:34" ht="15.75" customHeight="1">
      <c r="A104" s="154"/>
      <c r="B104" s="154"/>
      <c r="C104" s="154"/>
      <c r="D104" s="154"/>
      <c r="E104" s="154"/>
      <c r="F104" s="154"/>
      <c r="G104" s="154"/>
      <c r="H104" s="154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227">
        <f t="shared" si="15"/>
        <v>64.1</v>
      </c>
      <c r="U104" s="227">
        <f t="shared" si="17"/>
        <v>64.19999999999999</v>
      </c>
      <c r="V104" s="227">
        <f t="shared" si="17"/>
        <v>64.29999999999998</v>
      </c>
      <c r="W104" s="227">
        <f t="shared" si="17"/>
        <v>64.39999999999998</v>
      </c>
      <c r="X104" s="329">
        <f t="shared" si="17"/>
        <v>64.49999999999997</v>
      </c>
      <c r="Y104" s="227">
        <f t="shared" si="16"/>
        <v>13</v>
      </c>
      <c r="Z104" s="10"/>
      <c r="AA104" s="227"/>
      <c r="AB104" s="227"/>
      <c r="AC104" s="227"/>
      <c r="AD104" s="10"/>
      <c r="AE104" s="154"/>
      <c r="AF104" s="154"/>
      <c r="AG104" s="154"/>
      <c r="AH104" s="10"/>
    </row>
    <row r="105" spans="1:34" ht="15.75" customHeight="1">
      <c r="A105" s="154"/>
      <c r="B105" s="154"/>
      <c r="C105" s="154"/>
      <c r="D105" s="154"/>
      <c r="E105" s="154"/>
      <c r="F105" s="154"/>
      <c r="G105" s="154"/>
      <c r="H105" s="154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227">
        <f aca="true" t="shared" si="18" ref="T105:T129">T104+0.5</f>
        <v>64.6</v>
      </c>
      <c r="U105" s="227">
        <f t="shared" si="17"/>
        <v>64.69999999999999</v>
      </c>
      <c r="V105" s="227">
        <f t="shared" si="17"/>
        <v>64.79999999999998</v>
      </c>
      <c r="W105" s="227">
        <f t="shared" si="17"/>
        <v>64.89999999999998</v>
      </c>
      <c r="X105" s="329">
        <f t="shared" si="17"/>
        <v>64.99999999999997</v>
      </c>
      <c r="Y105" s="227">
        <f t="shared" si="16"/>
        <v>12</v>
      </c>
      <c r="Z105" s="10"/>
      <c r="AA105" s="227"/>
      <c r="AB105" s="227"/>
      <c r="AC105" s="227"/>
      <c r="AD105" s="10"/>
      <c r="AE105" s="154"/>
      <c r="AF105" s="154"/>
      <c r="AG105" s="154"/>
      <c r="AH105" s="10"/>
    </row>
    <row r="106" spans="1:34" ht="15.75" customHeight="1">
      <c r="A106" s="154"/>
      <c r="B106" s="154"/>
      <c r="C106" s="154"/>
      <c r="D106" s="154"/>
      <c r="E106" s="154"/>
      <c r="F106" s="154"/>
      <c r="G106" s="154"/>
      <c r="H106" s="154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227">
        <f t="shared" si="18"/>
        <v>65.1</v>
      </c>
      <c r="U106" s="227">
        <f t="shared" si="17"/>
        <v>65.19999999999999</v>
      </c>
      <c r="V106" s="227">
        <f t="shared" si="17"/>
        <v>65.29999999999998</v>
      </c>
      <c r="W106" s="227">
        <f t="shared" si="17"/>
        <v>65.39999999999998</v>
      </c>
      <c r="X106" s="329">
        <f t="shared" si="17"/>
        <v>65.49999999999997</v>
      </c>
      <c r="Y106" s="227">
        <f aca="true" t="shared" si="19" ref="Y106:Y128">Y104-1</f>
        <v>12</v>
      </c>
      <c r="Z106" s="10"/>
      <c r="AA106" s="227"/>
      <c r="AB106" s="227"/>
      <c r="AC106" s="227"/>
      <c r="AD106" s="10"/>
      <c r="AE106" s="154"/>
      <c r="AF106" s="154"/>
      <c r="AG106" s="154"/>
      <c r="AH106" s="10"/>
    </row>
    <row r="107" spans="1:34" ht="15.75" customHeight="1">
      <c r="A107" s="154"/>
      <c r="B107" s="154"/>
      <c r="C107" s="154"/>
      <c r="D107" s="154"/>
      <c r="E107" s="154"/>
      <c r="F107" s="154"/>
      <c r="G107" s="154"/>
      <c r="H107" s="154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227">
        <f t="shared" si="18"/>
        <v>65.6</v>
      </c>
      <c r="U107" s="227">
        <f t="shared" si="17"/>
        <v>65.69999999999999</v>
      </c>
      <c r="V107" s="227">
        <f t="shared" si="17"/>
        <v>65.79999999999998</v>
      </c>
      <c r="W107" s="227">
        <f t="shared" si="17"/>
        <v>65.89999999999998</v>
      </c>
      <c r="X107" s="329">
        <f t="shared" si="17"/>
        <v>65.99999999999997</v>
      </c>
      <c r="Y107" s="227">
        <f t="shared" si="19"/>
        <v>11</v>
      </c>
      <c r="Z107" s="10"/>
      <c r="AA107" s="227"/>
      <c r="AB107" s="227"/>
      <c r="AC107" s="227"/>
      <c r="AD107" s="10"/>
      <c r="AE107" s="154"/>
      <c r="AF107" s="154"/>
      <c r="AG107" s="154"/>
      <c r="AH107" s="10"/>
    </row>
    <row r="108" spans="1:34" ht="15.75" customHeight="1">
      <c r="A108" s="154"/>
      <c r="B108" s="154"/>
      <c r="C108" s="154"/>
      <c r="D108" s="154"/>
      <c r="E108" s="154"/>
      <c r="F108" s="154"/>
      <c r="G108" s="154"/>
      <c r="H108" s="154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227">
        <f t="shared" si="18"/>
        <v>66.1</v>
      </c>
      <c r="U108" s="227">
        <f aca="true" t="shared" si="20" ref="U108:X127">T108+0.1</f>
        <v>66.19999999999999</v>
      </c>
      <c r="V108" s="227">
        <f t="shared" si="20"/>
        <v>66.29999999999998</v>
      </c>
      <c r="W108" s="227">
        <f t="shared" si="20"/>
        <v>66.39999999999998</v>
      </c>
      <c r="X108" s="329">
        <f t="shared" si="20"/>
        <v>66.49999999999997</v>
      </c>
      <c r="Y108" s="227">
        <f t="shared" si="19"/>
        <v>11</v>
      </c>
      <c r="Z108" s="10"/>
      <c r="AA108" s="227"/>
      <c r="AB108" s="227"/>
      <c r="AC108" s="227"/>
      <c r="AD108" s="10"/>
      <c r="AE108" s="154"/>
      <c r="AF108" s="154"/>
      <c r="AG108" s="154"/>
      <c r="AH108" s="10"/>
    </row>
    <row r="109" spans="1:34" ht="15.75" customHeight="1">
      <c r="A109" s="154"/>
      <c r="B109" s="154"/>
      <c r="C109" s="154"/>
      <c r="D109" s="154"/>
      <c r="E109" s="154"/>
      <c r="F109" s="154"/>
      <c r="G109" s="154"/>
      <c r="H109" s="154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227">
        <f t="shared" si="18"/>
        <v>66.6</v>
      </c>
      <c r="U109" s="227">
        <f t="shared" si="20"/>
        <v>66.69999999999999</v>
      </c>
      <c r="V109" s="227">
        <f t="shared" si="20"/>
        <v>66.79999999999998</v>
      </c>
      <c r="W109" s="227">
        <f t="shared" si="20"/>
        <v>66.89999999999998</v>
      </c>
      <c r="X109" s="329">
        <f t="shared" si="20"/>
        <v>66.99999999999997</v>
      </c>
      <c r="Y109" s="227">
        <f t="shared" si="19"/>
        <v>10</v>
      </c>
      <c r="Z109" s="10"/>
      <c r="AA109" s="227"/>
      <c r="AB109" s="227"/>
      <c r="AC109" s="227"/>
      <c r="AD109" s="10"/>
      <c r="AE109" s="154"/>
      <c r="AF109" s="154"/>
      <c r="AG109" s="154"/>
      <c r="AH109" s="10"/>
    </row>
    <row r="110" spans="1:34" ht="15.75" customHeight="1">
      <c r="A110" s="154"/>
      <c r="B110" s="154"/>
      <c r="C110" s="154"/>
      <c r="D110" s="154"/>
      <c r="E110" s="154"/>
      <c r="F110" s="154"/>
      <c r="G110" s="154"/>
      <c r="H110" s="154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227">
        <f t="shared" si="18"/>
        <v>67.1</v>
      </c>
      <c r="U110" s="227">
        <f t="shared" si="20"/>
        <v>67.19999999999999</v>
      </c>
      <c r="V110" s="227">
        <f t="shared" si="20"/>
        <v>67.29999999999998</v>
      </c>
      <c r="W110" s="227">
        <f t="shared" si="20"/>
        <v>67.39999999999998</v>
      </c>
      <c r="X110" s="329">
        <f t="shared" si="20"/>
        <v>67.49999999999997</v>
      </c>
      <c r="Y110" s="227">
        <f t="shared" si="19"/>
        <v>10</v>
      </c>
      <c r="Z110" s="10"/>
      <c r="AA110" s="227"/>
      <c r="AB110" s="227"/>
      <c r="AC110" s="227"/>
      <c r="AD110" s="10"/>
      <c r="AE110" s="154"/>
      <c r="AF110" s="154"/>
      <c r="AG110" s="154"/>
      <c r="AH110" s="10"/>
    </row>
    <row r="111" spans="1:34" ht="15.75" customHeight="1">
      <c r="A111" s="154"/>
      <c r="B111" s="154"/>
      <c r="C111" s="154"/>
      <c r="D111" s="154"/>
      <c r="E111" s="154"/>
      <c r="F111" s="154"/>
      <c r="G111" s="154"/>
      <c r="H111" s="154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227">
        <f t="shared" si="18"/>
        <v>67.6</v>
      </c>
      <c r="U111" s="227">
        <f t="shared" si="20"/>
        <v>67.69999999999999</v>
      </c>
      <c r="V111" s="227">
        <f t="shared" si="20"/>
        <v>67.79999999999998</v>
      </c>
      <c r="W111" s="227">
        <f t="shared" si="20"/>
        <v>67.89999999999998</v>
      </c>
      <c r="X111" s="329">
        <f t="shared" si="20"/>
        <v>67.99999999999997</v>
      </c>
      <c r="Y111" s="227">
        <f t="shared" si="19"/>
        <v>9</v>
      </c>
      <c r="Z111" s="10"/>
      <c r="AA111" s="227"/>
      <c r="AB111" s="227"/>
      <c r="AC111" s="227"/>
      <c r="AD111" s="10"/>
      <c r="AE111" s="154"/>
      <c r="AF111" s="154"/>
      <c r="AG111" s="154"/>
      <c r="AH111" s="10"/>
    </row>
    <row r="112" spans="1:34" ht="15.75" customHeight="1">
      <c r="A112" s="154"/>
      <c r="B112" s="154"/>
      <c r="C112" s="154"/>
      <c r="D112" s="154"/>
      <c r="E112" s="154"/>
      <c r="F112" s="154"/>
      <c r="G112" s="154"/>
      <c r="H112" s="154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227">
        <f t="shared" si="18"/>
        <v>68.1</v>
      </c>
      <c r="U112" s="227">
        <f t="shared" si="20"/>
        <v>68.19999999999999</v>
      </c>
      <c r="V112" s="227">
        <f t="shared" si="20"/>
        <v>68.29999999999998</v>
      </c>
      <c r="W112" s="227">
        <f t="shared" si="20"/>
        <v>68.39999999999998</v>
      </c>
      <c r="X112" s="329">
        <f t="shared" si="20"/>
        <v>68.49999999999997</v>
      </c>
      <c r="Y112" s="227">
        <f t="shared" si="19"/>
        <v>9</v>
      </c>
      <c r="Z112" s="10"/>
      <c r="AA112" s="227"/>
      <c r="AB112" s="227"/>
      <c r="AC112" s="227"/>
      <c r="AD112" s="10"/>
      <c r="AE112" s="154"/>
      <c r="AF112" s="154"/>
      <c r="AG112" s="154"/>
      <c r="AH112" s="10"/>
    </row>
    <row r="113" spans="1:34" ht="15.75" customHeight="1">
      <c r="A113" s="154"/>
      <c r="B113" s="154"/>
      <c r="C113" s="154"/>
      <c r="D113" s="154"/>
      <c r="E113" s="154"/>
      <c r="F113" s="154"/>
      <c r="G113" s="154"/>
      <c r="H113" s="154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227">
        <f t="shared" si="18"/>
        <v>68.6</v>
      </c>
      <c r="U113" s="227">
        <f t="shared" si="20"/>
        <v>68.69999999999999</v>
      </c>
      <c r="V113" s="227">
        <f t="shared" si="20"/>
        <v>68.79999999999998</v>
      </c>
      <c r="W113" s="227">
        <f t="shared" si="20"/>
        <v>68.89999999999998</v>
      </c>
      <c r="X113" s="329">
        <f t="shared" si="20"/>
        <v>68.99999999999997</v>
      </c>
      <c r="Y113" s="227">
        <f t="shared" si="19"/>
        <v>8</v>
      </c>
      <c r="Z113" s="10"/>
      <c r="AA113" s="227"/>
      <c r="AB113" s="227"/>
      <c r="AC113" s="227"/>
      <c r="AD113" s="10"/>
      <c r="AE113" s="154"/>
      <c r="AF113" s="154"/>
      <c r="AG113" s="154"/>
      <c r="AH113" s="10"/>
    </row>
    <row r="114" spans="1:34" ht="15.75" customHeight="1">
      <c r="A114" s="154"/>
      <c r="B114" s="154"/>
      <c r="C114" s="154"/>
      <c r="D114" s="154"/>
      <c r="E114" s="154"/>
      <c r="F114" s="154"/>
      <c r="G114" s="154"/>
      <c r="H114" s="154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227">
        <f t="shared" si="18"/>
        <v>69.1</v>
      </c>
      <c r="U114" s="227">
        <f t="shared" si="20"/>
        <v>69.19999999999999</v>
      </c>
      <c r="V114" s="227">
        <f t="shared" si="20"/>
        <v>69.29999999999998</v>
      </c>
      <c r="W114" s="227">
        <f t="shared" si="20"/>
        <v>69.39999999999998</v>
      </c>
      <c r="X114" s="329">
        <f t="shared" si="20"/>
        <v>69.49999999999997</v>
      </c>
      <c r="Y114" s="227">
        <f t="shared" si="19"/>
        <v>8</v>
      </c>
      <c r="Z114" s="10"/>
      <c r="AA114" s="227"/>
      <c r="AB114" s="227"/>
      <c r="AC114" s="227"/>
      <c r="AD114" s="10"/>
      <c r="AE114" s="154"/>
      <c r="AF114" s="154"/>
      <c r="AG114" s="154"/>
      <c r="AH114" s="10"/>
    </row>
    <row r="115" spans="1:34" ht="15.75" customHeight="1">
      <c r="A115" s="154"/>
      <c r="B115" s="154"/>
      <c r="C115" s="154"/>
      <c r="D115" s="154"/>
      <c r="E115" s="154"/>
      <c r="F115" s="154"/>
      <c r="G115" s="154"/>
      <c r="H115" s="154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227">
        <f t="shared" si="18"/>
        <v>69.6</v>
      </c>
      <c r="U115" s="227">
        <f t="shared" si="20"/>
        <v>69.69999999999999</v>
      </c>
      <c r="V115" s="227">
        <f t="shared" si="20"/>
        <v>69.79999999999998</v>
      </c>
      <c r="W115" s="227">
        <f t="shared" si="20"/>
        <v>69.89999999999998</v>
      </c>
      <c r="X115" s="329">
        <f t="shared" si="20"/>
        <v>69.99999999999997</v>
      </c>
      <c r="Y115" s="227">
        <f t="shared" si="19"/>
        <v>7</v>
      </c>
      <c r="Z115" s="10"/>
      <c r="AA115" s="227"/>
      <c r="AB115" s="227"/>
      <c r="AC115" s="227"/>
      <c r="AD115" s="10"/>
      <c r="AE115" s="154"/>
      <c r="AF115" s="154"/>
      <c r="AG115" s="154"/>
      <c r="AH115" s="10"/>
    </row>
    <row r="116" spans="1:34" ht="15.75" customHeight="1">
      <c r="A116" s="154"/>
      <c r="B116" s="154"/>
      <c r="C116" s="154"/>
      <c r="D116" s="154"/>
      <c r="E116" s="154"/>
      <c r="F116" s="154"/>
      <c r="G116" s="154"/>
      <c r="H116" s="154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227">
        <f t="shared" si="18"/>
        <v>70.1</v>
      </c>
      <c r="U116" s="227">
        <f t="shared" si="20"/>
        <v>70.19999999999999</v>
      </c>
      <c r="V116" s="227">
        <f t="shared" si="20"/>
        <v>70.29999999999998</v>
      </c>
      <c r="W116" s="227">
        <f t="shared" si="20"/>
        <v>70.39999999999998</v>
      </c>
      <c r="X116" s="329">
        <f t="shared" si="20"/>
        <v>70.49999999999997</v>
      </c>
      <c r="Y116" s="227">
        <f t="shared" si="19"/>
        <v>7</v>
      </c>
      <c r="Z116" s="10"/>
      <c r="AA116" s="227"/>
      <c r="AB116" s="227"/>
      <c r="AC116" s="227"/>
      <c r="AD116" s="10"/>
      <c r="AE116" s="154"/>
      <c r="AF116" s="154"/>
      <c r="AG116" s="154"/>
      <c r="AH116" s="10"/>
    </row>
    <row r="117" spans="1:34" ht="15.75" customHeight="1">
      <c r="A117" s="154"/>
      <c r="B117" s="154"/>
      <c r="C117" s="154"/>
      <c r="D117" s="154"/>
      <c r="E117" s="154"/>
      <c r="F117" s="154"/>
      <c r="G117" s="154"/>
      <c r="H117" s="154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227">
        <f t="shared" si="18"/>
        <v>70.6</v>
      </c>
      <c r="U117" s="227">
        <f t="shared" si="20"/>
        <v>70.69999999999999</v>
      </c>
      <c r="V117" s="227">
        <f t="shared" si="20"/>
        <v>70.79999999999998</v>
      </c>
      <c r="W117" s="227">
        <f t="shared" si="20"/>
        <v>70.89999999999998</v>
      </c>
      <c r="X117" s="329">
        <f t="shared" si="20"/>
        <v>70.99999999999997</v>
      </c>
      <c r="Y117" s="227">
        <f t="shared" si="19"/>
        <v>6</v>
      </c>
      <c r="Z117" s="10"/>
      <c r="AA117" s="227"/>
      <c r="AB117" s="227"/>
      <c r="AC117" s="227"/>
      <c r="AD117" s="10"/>
      <c r="AE117" s="154"/>
      <c r="AF117" s="154"/>
      <c r="AG117" s="154"/>
      <c r="AH117" s="10"/>
    </row>
    <row r="118" spans="1:34" ht="15.75" customHeight="1">
      <c r="A118" s="154"/>
      <c r="B118" s="154"/>
      <c r="C118" s="154"/>
      <c r="D118" s="154"/>
      <c r="E118" s="154"/>
      <c r="F118" s="154"/>
      <c r="G118" s="154"/>
      <c r="H118" s="154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227">
        <f t="shared" si="18"/>
        <v>71.1</v>
      </c>
      <c r="U118" s="227">
        <f t="shared" si="20"/>
        <v>71.19999999999999</v>
      </c>
      <c r="V118" s="227">
        <f t="shared" si="20"/>
        <v>71.29999999999998</v>
      </c>
      <c r="W118" s="227">
        <f t="shared" si="20"/>
        <v>71.39999999999998</v>
      </c>
      <c r="X118" s="329">
        <f t="shared" si="20"/>
        <v>71.49999999999997</v>
      </c>
      <c r="Y118" s="227">
        <f t="shared" si="19"/>
        <v>6</v>
      </c>
      <c r="Z118" s="10"/>
      <c r="AA118" s="227"/>
      <c r="AB118" s="227"/>
      <c r="AC118" s="227"/>
      <c r="AD118" s="10"/>
      <c r="AE118" s="154"/>
      <c r="AF118" s="154"/>
      <c r="AG118" s="154"/>
      <c r="AH118" s="10"/>
    </row>
    <row r="119" spans="1:34" ht="15.75" customHeight="1">
      <c r="A119" s="154"/>
      <c r="B119" s="154"/>
      <c r="C119" s="154"/>
      <c r="D119" s="154"/>
      <c r="E119" s="154"/>
      <c r="F119" s="154"/>
      <c r="G119" s="154"/>
      <c r="H119" s="154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227">
        <f t="shared" si="18"/>
        <v>71.6</v>
      </c>
      <c r="U119" s="227">
        <f t="shared" si="20"/>
        <v>71.69999999999999</v>
      </c>
      <c r="V119" s="227">
        <f t="shared" si="20"/>
        <v>71.79999999999998</v>
      </c>
      <c r="W119" s="227">
        <f t="shared" si="20"/>
        <v>71.89999999999998</v>
      </c>
      <c r="X119" s="329">
        <f t="shared" si="20"/>
        <v>71.99999999999997</v>
      </c>
      <c r="Y119" s="227">
        <f t="shared" si="19"/>
        <v>5</v>
      </c>
      <c r="Z119" s="10"/>
      <c r="AA119" s="227"/>
      <c r="AB119" s="227"/>
      <c r="AC119" s="227"/>
      <c r="AD119" s="10"/>
      <c r="AE119" s="154"/>
      <c r="AF119" s="154"/>
      <c r="AG119" s="154"/>
      <c r="AH119" s="10"/>
    </row>
    <row r="120" spans="1:34" ht="15.75" customHeight="1">
      <c r="A120" s="154"/>
      <c r="B120" s="154"/>
      <c r="C120" s="154"/>
      <c r="D120" s="154"/>
      <c r="E120" s="154"/>
      <c r="F120" s="154"/>
      <c r="G120" s="154"/>
      <c r="H120" s="154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227">
        <f t="shared" si="18"/>
        <v>72.1</v>
      </c>
      <c r="U120" s="227">
        <f t="shared" si="20"/>
        <v>72.19999999999999</v>
      </c>
      <c r="V120" s="227">
        <f t="shared" si="20"/>
        <v>72.29999999999998</v>
      </c>
      <c r="W120" s="227">
        <f t="shared" si="20"/>
        <v>72.39999999999998</v>
      </c>
      <c r="X120" s="329">
        <f t="shared" si="20"/>
        <v>72.49999999999997</v>
      </c>
      <c r="Y120" s="227">
        <f t="shared" si="19"/>
        <v>5</v>
      </c>
      <c r="Z120" s="10"/>
      <c r="AA120" s="227"/>
      <c r="AB120" s="227"/>
      <c r="AC120" s="227"/>
      <c r="AD120" s="10"/>
      <c r="AE120" s="154"/>
      <c r="AF120" s="154"/>
      <c r="AG120" s="154"/>
      <c r="AH120" s="10"/>
    </row>
    <row r="121" spans="1:34" ht="15.75" customHeight="1">
      <c r="A121" s="154"/>
      <c r="B121" s="154"/>
      <c r="C121" s="154"/>
      <c r="D121" s="154"/>
      <c r="E121" s="154"/>
      <c r="F121" s="154"/>
      <c r="G121" s="154"/>
      <c r="H121" s="154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227">
        <f t="shared" si="18"/>
        <v>72.6</v>
      </c>
      <c r="U121" s="227">
        <f t="shared" si="20"/>
        <v>72.69999999999999</v>
      </c>
      <c r="V121" s="227">
        <f t="shared" si="20"/>
        <v>72.79999999999998</v>
      </c>
      <c r="W121" s="227">
        <f t="shared" si="20"/>
        <v>72.89999999999998</v>
      </c>
      <c r="X121" s="329">
        <f t="shared" si="20"/>
        <v>72.99999999999997</v>
      </c>
      <c r="Y121" s="227">
        <f t="shared" si="19"/>
        <v>4</v>
      </c>
      <c r="Z121" s="10"/>
      <c r="AA121" s="227"/>
      <c r="AB121" s="227"/>
      <c r="AC121" s="227"/>
      <c r="AD121" s="10"/>
      <c r="AE121" s="154"/>
      <c r="AF121" s="154"/>
      <c r="AG121" s="154"/>
      <c r="AH121" s="10"/>
    </row>
    <row r="122" spans="1:34" ht="15.75" customHeight="1">
      <c r="A122" s="154"/>
      <c r="B122" s="154"/>
      <c r="C122" s="154"/>
      <c r="D122" s="154"/>
      <c r="E122" s="154"/>
      <c r="F122" s="154"/>
      <c r="G122" s="154"/>
      <c r="H122" s="154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227">
        <f t="shared" si="18"/>
        <v>73.1</v>
      </c>
      <c r="U122" s="227">
        <f t="shared" si="20"/>
        <v>73.19999999999999</v>
      </c>
      <c r="V122" s="227">
        <f t="shared" si="20"/>
        <v>73.29999999999998</v>
      </c>
      <c r="W122" s="227">
        <f t="shared" si="20"/>
        <v>73.39999999999998</v>
      </c>
      <c r="X122" s="329">
        <f t="shared" si="20"/>
        <v>73.49999999999997</v>
      </c>
      <c r="Y122" s="227">
        <f t="shared" si="19"/>
        <v>4</v>
      </c>
      <c r="Z122" s="10"/>
      <c r="AA122" s="227"/>
      <c r="AB122" s="227"/>
      <c r="AC122" s="227"/>
      <c r="AD122" s="10"/>
      <c r="AE122" s="154"/>
      <c r="AF122" s="154"/>
      <c r="AG122" s="154"/>
      <c r="AH122" s="10"/>
    </row>
    <row r="123" spans="1:34" ht="15.75" customHeight="1">
      <c r="A123" s="154"/>
      <c r="B123" s="154"/>
      <c r="C123" s="154"/>
      <c r="D123" s="154"/>
      <c r="E123" s="154"/>
      <c r="F123" s="154"/>
      <c r="G123" s="154"/>
      <c r="H123" s="154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227">
        <f t="shared" si="18"/>
        <v>73.6</v>
      </c>
      <c r="U123" s="227">
        <f t="shared" si="20"/>
        <v>73.69999999999999</v>
      </c>
      <c r="V123" s="227">
        <f t="shared" si="20"/>
        <v>73.79999999999998</v>
      </c>
      <c r="W123" s="227">
        <f t="shared" si="20"/>
        <v>73.89999999999998</v>
      </c>
      <c r="X123" s="329">
        <f t="shared" si="20"/>
        <v>73.99999999999997</v>
      </c>
      <c r="Y123" s="227">
        <f t="shared" si="19"/>
        <v>3</v>
      </c>
      <c r="Z123" s="10"/>
      <c r="AA123" s="227"/>
      <c r="AB123" s="227"/>
      <c r="AC123" s="227"/>
      <c r="AD123" s="10"/>
      <c r="AE123" s="154"/>
      <c r="AF123" s="154"/>
      <c r="AG123" s="154"/>
      <c r="AH123" s="10"/>
    </row>
    <row r="124" spans="1:34" ht="15.75" customHeight="1">
      <c r="A124" s="154"/>
      <c r="B124" s="154"/>
      <c r="C124" s="154"/>
      <c r="D124" s="154"/>
      <c r="E124" s="154"/>
      <c r="F124" s="154"/>
      <c r="G124" s="154"/>
      <c r="H124" s="154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227">
        <f t="shared" si="18"/>
        <v>74.1</v>
      </c>
      <c r="U124" s="227">
        <f t="shared" si="20"/>
        <v>74.19999999999999</v>
      </c>
      <c r="V124" s="227">
        <f t="shared" si="20"/>
        <v>74.29999999999998</v>
      </c>
      <c r="W124" s="227">
        <f t="shared" si="20"/>
        <v>74.39999999999998</v>
      </c>
      <c r="X124" s="329">
        <f t="shared" si="20"/>
        <v>74.49999999999997</v>
      </c>
      <c r="Y124" s="227">
        <f t="shared" si="19"/>
        <v>3</v>
      </c>
      <c r="Z124" s="10"/>
      <c r="AA124" s="10"/>
      <c r="AB124" s="10"/>
      <c r="AC124" s="227"/>
      <c r="AD124" s="10"/>
      <c r="AE124" s="154"/>
      <c r="AF124" s="154"/>
      <c r="AG124" s="154"/>
      <c r="AH124" s="10"/>
    </row>
    <row r="125" spans="1:34" ht="15.75" customHeight="1">
      <c r="A125" s="154"/>
      <c r="B125" s="154"/>
      <c r="C125" s="154"/>
      <c r="D125" s="154"/>
      <c r="E125" s="154"/>
      <c r="F125" s="154"/>
      <c r="G125" s="154"/>
      <c r="H125" s="154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227">
        <f t="shared" si="18"/>
        <v>74.6</v>
      </c>
      <c r="U125" s="227">
        <f t="shared" si="20"/>
        <v>74.69999999999999</v>
      </c>
      <c r="V125" s="227">
        <f t="shared" si="20"/>
        <v>74.79999999999998</v>
      </c>
      <c r="W125" s="227">
        <f t="shared" si="20"/>
        <v>74.89999999999998</v>
      </c>
      <c r="X125" s="329">
        <f t="shared" si="20"/>
        <v>74.99999999999997</v>
      </c>
      <c r="Y125" s="227">
        <f t="shared" si="19"/>
        <v>2</v>
      </c>
      <c r="Z125" s="10"/>
      <c r="AA125" s="10"/>
      <c r="AB125" s="10"/>
      <c r="AC125" s="227"/>
      <c r="AD125" s="10"/>
      <c r="AE125" s="154"/>
      <c r="AF125" s="154"/>
      <c r="AG125" s="154"/>
      <c r="AH125" s="10"/>
    </row>
    <row r="126" spans="1:34" ht="15.75" customHeight="1">
      <c r="A126" s="154"/>
      <c r="B126" s="154"/>
      <c r="C126" s="154"/>
      <c r="D126" s="154"/>
      <c r="E126" s="154"/>
      <c r="F126" s="154"/>
      <c r="G126" s="154"/>
      <c r="H126" s="154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227">
        <f t="shared" si="18"/>
        <v>75.1</v>
      </c>
      <c r="U126" s="227">
        <f t="shared" si="20"/>
        <v>75.19999999999999</v>
      </c>
      <c r="V126" s="227">
        <f t="shared" si="20"/>
        <v>75.29999999999998</v>
      </c>
      <c r="W126" s="227">
        <f t="shared" si="20"/>
        <v>75.39999999999998</v>
      </c>
      <c r="X126" s="329">
        <f t="shared" si="20"/>
        <v>75.49999999999997</v>
      </c>
      <c r="Y126" s="227">
        <f t="shared" si="19"/>
        <v>2</v>
      </c>
      <c r="Z126" s="10"/>
      <c r="AA126" s="10"/>
      <c r="AB126" s="10"/>
      <c r="AC126" s="227"/>
      <c r="AD126" s="10"/>
      <c r="AE126" s="154"/>
      <c r="AF126" s="154"/>
      <c r="AG126" s="154"/>
      <c r="AH126" s="10"/>
    </row>
    <row r="127" spans="1:34" ht="15.75" customHeight="1">
      <c r="A127" s="154"/>
      <c r="B127" s="154"/>
      <c r="C127" s="154"/>
      <c r="D127" s="154"/>
      <c r="E127" s="154"/>
      <c r="F127" s="154"/>
      <c r="G127" s="154"/>
      <c r="H127" s="154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227">
        <f t="shared" si="18"/>
        <v>75.6</v>
      </c>
      <c r="U127" s="227">
        <f t="shared" si="20"/>
        <v>75.69999999999999</v>
      </c>
      <c r="V127" s="227">
        <f t="shared" si="20"/>
        <v>75.79999999999998</v>
      </c>
      <c r="W127" s="227">
        <f t="shared" si="20"/>
        <v>75.89999999999998</v>
      </c>
      <c r="X127" s="329">
        <f t="shared" si="20"/>
        <v>75.99999999999997</v>
      </c>
      <c r="Y127" s="227">
        <f t="shared" si="19"/>
        <v>1</v>
      </c>
      <c r="Z127" s="10"/>
      <c r="AA127" s="10"/>
      <c r="AB127" s="10"/>
      <c r="AC127" s="227"/>
      <c r="AD127" s="10"/>
      <c r="AE127" s="154"/>
      <c r="AF127" s="154"/>
      <c r="AG127" s="154"/>
      <c r="AH127" s="10"/>
    </row>
    <row r="128" spans="1:34" ht="15.75" customHeight="1">
      <c r="A128" s="154"/>
      <c r="B128" s="154"/>
      <c r="C128" s="154"/>
      <c r="D128" s="154"/>
      <c r="E128" s="154"/>
      <c r="F128" s="154"/>
      <c r="G128" s="154"/>
      <c r="H128" s="154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227">
        <f t="shared" si="18"/>
        <v>76.1</v>
      </c>
      <c r="U128" s="227">
        <f aca="true" t="shared" si="21" ref="U128:X129">T128+0.1</f>
        <v>76.19999999999999</v>
      </c>
      <c r="V128" s="227">
        <f t="shared" si="21"/>
        <v>76.29999999999998</v>
      </c>
      <c r="W128" s="227">
        <f t="shared" si="21"/>
        <v>76.39999999999998</v>
      </c>
      <c r="X128" s="329">
        <f t="shared" si="21"/>
        <v>76.49999999999997</v>
      </c>
      <c r="Y128" s="227">
        <f t="shared" si="19"/>
        <v>1</v>
      </c>
      <c r="Z128" s="10"/>
      <c r="AA128" s="10"/>
      <c r="AB128" s="10"/>
      <c r="AC128" s="227"/>
      <c r="AD128" s="10"/>
      <c r="AE128" s="154"/>
      <c r="AF128" s="154"/>
      <c r="AG128" s="154"/>
      <c r="AH128" s="10"/>
    </row>
    <row r="129" spans="1:34" ht="15.75" customHeight="1">
      <c r="A129" s="154"/>
      <c r="B129" s="154"/>
      <c r="C129" s="154"/>
      <c r="D129" s="154"/>
      <c r="E129" s="154"/>
      <c r="F129" s="154"/>
      <c r="G129" s="154"/>
      <c r="H129" s="154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227">
        <f t="shared" si="18"/>
        <v>76.6</v>
      </c>
      <c r="U129" s="227">
        <f t="shared" si="21"/>
        <v>76.69999999999999</v>
      </c>
      <c r="V129" s="227">
        <f t="shared" si="21"/>
        <v>76.79999999999998</v>
      </c>
      <c r="W129" s="227">
        <f t="shared" si="21"/>
        <v>76.89999999999998</v>
      </c>
      <c r="X129" s="329">
        <f t="shared" si="21"/>
        <v>76.99999999999997</v>
      </c>
      <c r="Y129" s="227">
        <v>0</v>
      </c>
      <c r="Z129" s="10"/>
      <c r="AA129" s="10"/>
      <c r="AB129" s="10"/>
      <c r="AC129" s="10"/>
      <c r="AD129" s="10"/>
      <c r="AE129" s="154"/>
      <c r="AF129" s="154"/>
      <c r="AG129" s="154"/>
      <c r="AH129" s="10"/>
    </row>
    <row r="130" spans="1:34" ht="15.75" customHeight="1">
      <c r="A130" s="154"/>
      <c r="B130" s="154"/>
      <c r="C130" s="154"/>
      <c r="D130" s="154"/>
      <c r="E130" s="154"/>
      <c r="F130" s="154"/>
      <c r="G130" s="154"/>
      <c r="H130" s="154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</sheetData>
  <sheetProtection password="E074" sheet="1" objects="1" scenarios="1"/>
  <mergeCells count="67">
    <mergeCell ref="A1:H2"/>
    <mergeCell ref="N30:O30"/>
    <mergeCell ref="N7:O7"/>
    <mergeCell ref="I27:L27"/>
    <mergeCell ref="B8:F8"/>
    <mergeCell ref="I7:L7"/>
    <mergeCell ref="I30:L30"/>
    <mergeCell ref="B26:F26"/>
    <mergeCell ref="H4:H5"/>
    <mergeCell ref="G14:H14"/>
    <mergeCell ref="I31:L31"/>
    <mergeCell ref="N22:O22"/>
    <mergeCell ref="B23:F23"/>
    <mergeCell ref="B24:F24"/>
    <mergeCell ref="N31:Q31"/>
    <mergeCell ref="B28:F28"/>
    <mergeCell ref="I23:L23"/>
    <mergeCell ref="P30:Q30"/>
    <mergeCell ref="G22:H22"/>
    <mergeCell ref="I26:L26"/>
    <mergeCell ref="N6:Q6"/>
    <mergeCell ref="I15:L15"/>
    <mergeCell ref="P7:Q7"/>
    <mergeCell ref="I1:Q2"/>
    <mergeCell ref="N4:Q5"/>
    <mergeCell ref="M4:M5"/>
    <mergeCell ref="I13:L13"/>
    <mergeCell ref="B29:F29"/>
    <mergeCell ref="I25:L25"/>
    <mergeCell ref="B20:F20"/>
    <mergeCell ref="B22:F22"/>
    <mergeCell ref="I28:L28"/>
    <mergeCell ref="I24:L24"/>
    <mergeCell ref="G29:H29"/>
    <mergeCell ref="I21:L21"/>
    <mergeCell ref="G20:H20"/>
    <mergeCell ref="B25:F25"/>
    <mergeCell ref="A3:B3"/>
    <mergeCell ref="I10:L10"/>
    <mergeCell ref="G18:H18"/>
    <mergeCell ref="I12:L12"/>
    <mergeCell ref="K3:Q3"/>
    <mergeCell ref="B12:F12"/>
    <mergeCell ref="C3:G3"/>
    <mergeCell ref="H3:J3"/>
    <mergeCell ref="I8:L8"/>
    <mergeCell ref="I9:L9"/>
    <mergeCell ref="B27:F27"/>
    <mergeCell ref="B9:F9"/>
    <mergeCell ref="B16:F16"/>
    <mergeCell ref="I16:L16"/>
    <mergeCell ref="B11:F11"/>
    <mergeCell ref="B21:F21"/>
    <mergeCell ref="B13:F13"/>
    <mergeCell ref="B15:F15"/>
    <mergeCell ref="B14:F14"/>
    <mergeCell ref="B19:F19"/>
    <mergeCell ref="I19:L19"/>
    <mergeCell ref="A4:G5"/>
    <mergeCell ref="I4:L5"/>
    <mergeCell ref="I6:L6"/>
    <mergeCell ref="A7:H7"/>
    <mergeCell ref="B17:F17"/>
    <mergeCell ref="B18:F18"/>
    <mergeCell ref="G11:H11"/>
    <mergeCell ref="G17:H17"/>
    <mergeCell ref="B10:F10"/>
  </mergeCells>
  <printOptions/>
  <pageMargins left="0.7875" right="0.354861" top="0.577083" bottom="0.576389" header="0.511806" footer="0.511806"/>
  <pageSetup horizontalDpi="600" verticalDpi="600" orientation="portrait" scale="85"/>
  <headerFooter alignWithMargins="0">
    <oddFooter>&amp;C000000&amp;P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51"/>
  <sheetViews>
    <sheetView showGridLines="0" workbookViewId="0" topLeftCell="A1">
      <selection activeCell="A1" sqref="A1:H2"/>
    </sheetView>
  </sheetViews>
  <sheetFormatPr defaultColWidth="8.8515625" defaultRowHeight="12" customHeight="1"/>
  <cols>
    <col min="1" max="5" width="5.00390625" style="5" customWidth="1"/>
    <col min="6" max="6" width="9.28125" style="5" customWidth="1"/>
    <col min="7" max="18" width="5.00390625" style="5" customWidth="1"/>
    <col min="19" max="19" width="9.00390625" style="5" customWidth="1"/>
    <col min="20" max="25" width="8.8515625" style="5" hidden="1" customWidth="1"/>
    <col min="26" max="26" width="9.00390625" style="5" customWidth="1"/>
    <col min="27" max="27" width="9.140625" style="5" customWidth="1"/>
    <col min="28" max="16384" width="8.8515625" style="5" customWidth="1"/>
  </cols>
  <sheetData>
    <row r="1" spans="1:27" ht="15.75" customHeight="1">
      <c r="A1" s="900" t="s">
        <v>334</v>
      </c>
      <c r="B1" s="901"/>
      <c r="C1" s="901"/>
      <c r="D1" s="901"/>
      <c r="E1" s="901"/>
      <c r="F1" s="901"/>
      <c r="G1" s="901"/>
      <c r="H1" s="901"/>
      <c r="I1" s="895" t="s">
        <v>335</v>
      </c>
      <c r="J1" s="896"/>
      <c r="K1" s="896"/>
      <c r="L1" s="896"/>
      <c r="M1" s="896"/>
      <c r="N1" s="896"/>
      <c r="O1" s="896"/>
      <c r="P1" s="896"/>
      <c r="Q1" s="897"/>
      <c r="R1" s="9"/>
      <c r="S1" s="10"/>
      <c r="T1" s="381">
        <v>6</v>
      </c>
      <c r="U1" s="382">
        <v>6.1</v>
      </c>
      <c r="V1" s="382">
        <v>6.2</v>
      </c>
      <c r="W1" s="382">
        <v>6.3</v>
      </c>
      <c r="X1" s="382">
        <v>6.4</v>
      </c>
      <c r="Y1" s="383">
        <v>306</v>
      </c>
      <c r="Z1" s="10"/>
      <c r="AA1" s="10"/>
    </row>
    <row r="2" spans="1:27" ht="15.75" customHeight="1">
      <c r="A2" s="902"/>
      <c r="B2" s="903"/>
      <c r="C2" s="903"/>
      <c r="D2" s="903"/>
      <c r="E2" s="903"/>
      <c r="F2" s="903"/>
      <c r="G2" s="903"/>
      <c r="H2" s="903"/>
      <c r="I2" s="898"/>
      <c r="J2" s="898"/>
      <c r="K2" s="898"/>
      <c r="L2" s="898"/>
      <c r="M2" s="898"/>
      <c r="N2" s="898"/>
      <c r="O2" s="898"/>
      <c r="P2" s="898"/>
      <c r="Q2" s="899"/>
      <c r="R2" s="344"/>
      <c r="S2" s="10"/>
      <c r="T2" s="254">
        <v>6.5</v>
      </c>
      <c r="U2" s="254">
        <v>6.6</v>
      </c>
      <c r="V2" s="254">
        <v>6.7</v>
      </c>
      <c r="W2" s="254">
        <v>6.8</v>
      </c>
      <c r="X2" s="254">
        <v>6.9</v>
      </c>
      <c r="Y2" s="384">
        <v>304</v>
      </c>
      <c r="Z2" s="10"/>
      <c r="AA2" s="10"/>
    </row>
    <row r="3" spans="1:27" ht="24.75" customHeight="1">
      <c r="A3" s="851" t="s">
        <v>220</v>
      </c>
      <c r="B3" s="852"/>
      <c r="C3" s="880"/>
      <c r="D3" s="844"/>
      <c r="E3" s="844"/>
      <c r="F3" s="844"/>
      <c r="G3" s="881"/>
      <c r="H3" s="851" t="s">
        <v>221</v>
      </c>
      <c r="I3" s="796"/>
      <c r="J3" s="852"/>
      <c r="K3" s="746"/>
      <c r="L3" s="747"/>
      <c r="M3" s="747"/>
      <c r="N3" s="747"/>
      <c r="O3" s="747"/>
      <c r="P3" s="747"/>
      <c r="Q3" s="747"/>
      <c r="R3" s="296"/>
      <c r="S3" s="10"/>
      <c r="T3" s="253">
        <f aca="true" t="shared" si="0" ref="T3:X4">T1+1</f>
        <v>7</v>
      </c>
      <c r="U3" s="253">
        <f t="shared" si="0"/>
        <v>7.1</v>
      </c>
      <c r="V3" s="253">
        <f t="shared" si="0"/>
        <v>7.2</v>
      </c>
      <c r="W3" s="253">
        <f t="shared" si="0"/>
        <v>7.3</v>
      </c>
      <c r="X3" s="253">
        <f t="shared" si="0"/>
        <v>7.4</v>
      </c>
      <c r="Y3" s="384">
        <v>302</v>
      </c>
      <c r="Z3" s="10"/>
      <c r="AA3" s="10"/>
    </row>
    <row r="4" spans="1:27" ht="10.5" customHeight="1">
      <c r="A4" s="385"/>
      <c r="B4" s="386"/>
      <c r="C4" s="386"/>
      <c r="D4" s="386"/>
      <c r="E4" s="386"/>
      <c r="F4" s="386"/>
      <c r="G4" s="386"/>
      <c r="H4" s="386"/>
      <c r="I4" s="875" t="s">
        <v>222</v>
      </c>
      <c r="J4" s="876"/>
      <c r="K4" s="876"/>
      <c r="L4" s="876"/>
      <c r="M4" s="799" t="s">
        <v>223</v>
      </c>
      <c r="N4" s="769">
        <f>IF(O26&lt;=0,0,O26)</f>
        <v>200</v>
      </c>
      <c r="O4" s="812"/>
      <c r="P4" s="812"/>
      <c r="Q4" s="813"/>
      <c r="R4" s="296"/>
      <c r="S4" s="10"/>
      <c r="T4" s="254">
        <f t="shared" si="0"/>
        <v>7.5</v>
      </c>
      <c r="U4" s="254">
        <f t="shared" si="0"/>
        <v>7.6</v>
      </c>
      <c r="V4" s="254">
        <f t="shared" si="0"/>
        <v>7.7</v>
      </c>
      <c r="W4" s="254">
        <f t="shared" si="0"/>
        <v>7.8</v>
      </c>
      <c r="X4" s="254">
        <f t="shared" si="0"/>
        <v>7.9</v>
      </c>
      <c r="Y4" s="384">
        <v>300</v>
      </c>
      <c r="Z4" s="10"/>
      <c r="AA4" s="10"/>
    </row>
    <row r="5" spans="1:27" ht="10.5" customHeight="1">
      <c r="A5" s="387"/>
      <c r="B5" s="388"/>
      <c r="C5" s="388"/>
      <c r="D5" s="388"/>
      <c r="E5" s="388"/>
      <c r="F5" s="388"/>
      <c r="G5" s="388"/>
      <c r="H5" s="388"/>
      <c r="I5" s="876"/>
      <c r="J5" s="876"/>
      <c r="K5" s="876"/>
      <c r="L5" s="876"/>
      <c r="M5" s="800"/>
      <c r="N5" s="812"/>
      <c r="O5" s="812"/>
      <c r="P5" s="812"/>
      <c r="Q5" s="813"/>
      <c r="R5" s="301"/>
      <c r="S5" s="10"/>
      <c r="T5" s="253">
        <v>8</v>
      </c>
      <c r="U5" s="253">
        <v>8.1</v>
      </c>
      <c r="V5" s="253">
        <v>8.2</v>
      </c>
      <c r="W5" s="253">
        <v>8.3</v>
      </c>
      <c r="X5" s="253">
        <v>8.4</v>
      </c>
      <c r="Y5" s="384">
        <v>288</v>
      </c>
      <c r="Z5" s="10"/>
      <c r="AA5" s="10"/>
    </row>
    <row r="6" spans="1:27" ht="19.5" customHeight="1">
      <c r="A6" s="348" t="s">
        <v>224</v>
      </c>
      <c r="B6" s="882" t="s">
        <v>225</v>
      </c>
      <c r="C6" s="756"/>
      <c r="D6" s="756"/>
      <c r="E6" s="756"/>
      <c r="F6" s="756"/>
      <c r="G6" s="362" t="s">
        <v>280</v>
      </c>
      <c r="H6" s="355"/>
      <c r="I6" s="685" t="s">
        <v>227</v>
      </c>
      <c r="J6" s="699"/>
      <c r="K6" s="699"/>
      <c r="L6" s="700"/>
      <c r="M6" s="188"/>
      <c r="N6" s="685" t="s">
        <v>224</v>
      </c>
      <c r="O6" s="699"/>
      <c r="P6" s="699"/>
      <c r="Q6" s="700"/>
      <c r="R6" s="328"/>
      <c r="S6" s="10"/>
      <c r="T6" s="253">
        <v>8.5</v>
      </c>
      <c r="U6" s="253">
        <v>8.6</v>
      </c>
      <c r="V6" s="253">
        <v>8.7</v>
      </c>
      <c r="W6" s="253">
        <v>8.8</v>
      </c>
      <c r="X6" s="253">
        <v>8.9</v>
      </c>
      <c r="Y6" s="384">
        <v>286</v>
      </c>
      <c r="Z6" s="10"/>
      <c r="AA6" s="10"/>
    </row>
    <row r="7" spans="1:27" ht="15.75" customHeight="1">
      <c r="A7" s="362"/>
      <c r="B7" s="389"/>
      <c r="C7" s="370"/>
      <c r="D7" s="370"/>
      <c r="E7" s="370"/>
      <c r="F7" s="370"/>
      <c r="G7" s="389"/>
      <c r="H7" s="389"/>
      <c r="I7" s="390"/>
      <c r="J7" s="391"/>
      <c r="K7" s="391"/>
      <c r="L7" s="392"/>
      <c r="M7" s="309"/>
      <c r="N7" s="884" t="s">
        <v>143</v>
      </c>
      <c r="O7" s="893"/>
      <c r="P7" s="884" t="s">
        <v>228</v>
      </c>
      <c r="Q7" s="885"/>
      <c r="R7" s="328"/>
      <c r="S7" s="10"/>
      <c r="T7" s="253"/>
      <c r="U7" s="253"/>
      <c r="V7" s="253"/>
      <c r="W7" s="253"/>
      <c r="X7" s="253"/>
      <c r="Y7" s="384"/>
      <c r="Z7" s="10"/>
      <c r="AA7" s="10"/>
    </row>
    <row r="8" spans="1:27" ht="18" customHeight="1">
      <c r="A8" s="188">
        <v>200</v>
      </c>
      <c r="B8" s="758" t="s">
        <v>336</v>
      </c>
      <c r="C8" s="795"/>
      <c r="D8" s="795"/>
      <c r="E8" s="795"/>
      <c r="F8" s="795"/>
      <c r="G8" s="760" t="s">
        <v>337</v>
      </c>
      <c r="H8" s="816"/>
      <c r="I8" s="883" t="s">
        <v>338</v>
      </c>
      <c r="J8" s="796"/>
      <c r="K8" s="796"/>
      <c r="L8" s="796"/>
      <c r="M8" s="356"/>
      <c r="N8" s="364">
        <f>IF(I8="","",200)</f>
        <v>200</v>
      </c>
      <c r="O8" s="393"/>
      <c r="P8" s="890">
        <f>IF(I8="ok",200,0)</f>
        <v>200</v>
      </c>
      <c r="Q8" s="891"/>
      <c r="R8" s="316"/>
      <c r="S8" s="10"/>
      <c r="T8" s="245">
        <v>9</v>
      </c>
      <c r="U8" s="14">
        <v>9.1</v>
      </c>
      <c r="V8" s="14">
        <v>9.2</v>
      </c>
      <c r="W8" s="14">
        <v>9.3</v>
      </c>
      <c r="X8" s="14">
        <v>9.4</v>
      </c>
      <c r="Y8" s="394">
        <v>284</v>
      </c>
      <c r="Z8" s="10"/>
      <c r="AA8" s="10"/>
    </row>
    <row r="9" spans="1:27" ht="18" customHeight="1">
      <c r="A9" s="348" t="s">
        <v>316</v>
      </c>
      <c r="B9" s="758" t="s">
        <v>282</v>
      </c>
      <c r="C9" s="795"/>
      <c r="D9" s="795"/>
      <c r="E9" s="795"/>
      <c r="F9" s="795"/>
      <c r="G9" s="760" t="s">
        <v>283</v>
      </c>
      <c r="H9" s="831"/>
      <c r="I9" s="894"/>
      <c r="J9" s="844"/>
      <c r="K9" s="844"/>
      <c r="L9" s="881"/>
      <c r="M9" s="356"/>
      <c r="N9" s="357"/>
      <c r="O9" s="358"/>
      <c r="P9" s="892">
        <f>IF(I9="","",VLOOKUP(I9,T1:Y151,6))</f>
      </c>
      <c r="Q9" s="754"/>
      <c r="R9" s="316"/>
      <c r="S9" s="10"/>
      <c r="T9" s="14">
        <v>9.5</v>
      </c>
      <c r="U9" s="14">
        <v>9.6</v>
      </c>
      <c r="V9" s="14">
        <v>9.7</v>
      </c>
      <c r="W9" s="14">
        <v>9.8</v>
      </c>
      <c r="X9" s="14">
        <v>9.9</v>
      </c>
      <c r="Y9" s="394">
        <v>282</v>
      </c>
      <c r="Z9" s="10"/>
      <c r="AA9" s="10"/>
    </row>
    <row r="10" spans="1:27" ht="18" customHeight="1">
      <c r="A10" s="188">
        <v>-30</v>
      </c>
      <c r="B10" s="758" t="s">
        <v>339</v>
      </c>
      <c r="C10" s="795"/>
      <c r="D10" s="795"/>
      <c r="E10" s="795"/>
      <c r="F10" s="795"/>
      <c r="G10" s="364">
        <v>0</v>
      </c>
      <c r="H10" s="355" t="s">
        <v>256</v>
      </c>
      <c r="I10" s="879"/>
      <c r="J10" s="796"/>
      <c r="K10" s="796"/>
      <c r="L10" s="796"/>
      <c r="M10" s="356"/>
      <c r="N10" s="363">
        <f>IF(I10="",0,I10*A10)</f>
        <v>0</v>
      </c>
      <c r="O10" s="360"/>
      <c r="P10" s="357"/>
      <c r="Q10" s="358"/>
      <c r="R10" s="316"/>
      <c r="S10" s="10"/>
      <c r="T10" s="245">
        <v>10</v>
      </c>
      <c r="U10" s="14">
        <v>10.1</v>
      </c>
      <c r="V10" s="14">
        <v>10.2</v>
      </c>
      <c r="W10" s="14">
        <v>10.3</v>
      </c>
      <c r="X10" s="14">
        <v>10.4</v>
      </c>
      <c r="Y10" s="394">
        <v>280</v>
      </c>
      <c r="Z10" s="10"/>
      <c r="AA10" s="10"/>
    </row>
    <row r="11" spans="1:27" ht="18" customHeight="1">
      <c r="A11" s="188">
        <v>-20</v>
      </c>
      <c r="B11" s="758" t="s">
        <v>340</v>
      </c>
      <c r="C11" s="795"/>
      <c r="D11" s="795"/>
      <c r="E11" s="795"/>
      <c r="F11" s="795"/>
      <c r="G11" s="364">
        <v>0</v>
      </c>
      <c r="H11" s="355" t="s">
        <v>256</v>
      </c>
      <c r="I11" s="879"/>
      <c r="J11" s="796"/>
      <c r="K11" s="796"/>
      <c r="L11" s="796"/>
      <c r="M11" s="356"/>
      <c r="N11" s="363">
        <f>IF(I11="",0,I11*A11)</f>
        <v>0</v>
      </c>
      <c r="O11" s="360"/>
      <c r="P11" s="357"/>
      <c r="Q11" s="358"/>
      <c r="R11" s="316"/>
      <c r="S11" s="10"/>
      <c r="T11" s="14">
        <v>10.5</v>
      </c>
      <c r="U11" s="14">
        <v>10.6</v>
      </c>
      <c r="V11" s="14">
        <v>10.7</v>
      </c>
      <c r="W11" s="14">
        <v>10.8</v>
      </c>
      <c r="X11" s="14">
        <v>10.9</v>
      </c>
      <c r="Y11" s="394">
        <v>278</v>
      </c>
      <c r="Z11" s="10"/>
      <c r="AA11" s="10"/>
    </row>
    <row r="12" spans="1:27" ht="18" customHeight="1">
      <c r="A12" s="188">
        <v>-20</v>
      </c>
      <c r="B12" s="758" t="s">
        <v>341</v>
      </c>
      <c r="C12" s="795"/>
      <c r="D12" s="795"/>
      <c r="E12" s="795"/>
      <c r="F12" s="795"/>
      <c r="G12" s="364">
        <v>0</v>
      </c>
      <c r="H12" s="355" t="s">
        <v>256</v>
      </c>
      <c r="I12" s="879"/>
      <c r="J12" s="796"/>
      <c r="K12" s="796"/>
      <c r="L12" s="796"/>
      <c r="M12" s="356"/>
      <c r="N12" s="363">
        <f>IF(I12="",0,I12*A12)</f>
        <v>0</v>
      </c>
      <c r="O12" s="360"/>
      <c r="P12" s="357"/>
      <c r="Q12" s="358"/>
      <c r="R12" s="316"/>
      <c r="S12" s="10"/>
      <c r="T12" s="245">
        <v>11</v>
      </c>
      <c r="U12" s="14">
        <v>11.1</v>
      </c>
      <c r="V12" s="14">
        <v>11.2</v>
      </c>
      <c r="W12" s="14">
        <v>11.3</v>
      </c>
      <c r="X12" s="14">
        <v>11.4</v>
      </c>
      <c r="Y12" s="394">
        <v>276</v>
      </c>
      <c r="Z12" s="10"/>
      <c r="AA12" s="10"/>
    </row>
    <row r="13" spans="1:27" ht="18" customHeight="1">
      <c r="A13" s="188">
        <v>-40</v>
      </c>
      <c r="B13" s="758" t="s">
        <v>342</v>
      </c>
      <c r="C13" s="815"/>
      <c r="D13" s="815"/>
      <c r="E13" s="815"/>
      <c r="F13" s="815"/>
      <c r="G13" s="364">
        <v>0</v>
      </c>
      <c r="H13" s="355" t="s">
        <v>256</v>
      </c>
      <c r="I13" s="879"/>
      <c r="J13" s="796"/>
      <c r="K13" s="796"/>
      <c r="L13" s="796"/>
      <c r="M13" s="356"/>
      <c r="N13" s="363">
        <f>IF(I13="",0,12*A13)</f>
        <v>0</v>
      </c>
      <c r="O13" s="360"/>
      <c r="P13" s="357"/>
      <c r="Q13" s="358"/>
      <c r="R13" s="316"/>
      <c r="S13" s="10"/>
      <c r="T13" s="14">
        <v>11.5</v>
      </c>
      <c r="U13" s="14">
        <v>11.6</v>
      </c>
      <c r="V13" s="14">
        <v>11.7</v>
      </c>
      <c r="W13" s="14">
        <v>11.8</v>
      </c>
      <c r="X13" s="14">
        <v>11.9</v>
      </c>
      <c r="Y13" s="394">
        <v>274</v>
      </c>
      <c r="Z13" s="10"/>
      <c r="AA13" s="10"/>
    </row>
    <row r="14" spans="1:27" ht="18" customHeight="1">
      <c r="A14" s="188">
        <v>-20</v>
      </c>
      <c r="B14" s="758" t="s">
        <v>343</v>
      </c>
      <c r="C14" s="795"/>
      <c r="D14" s="795"/>
      <c r="E14" s="795"/>
      <c r="F14" s="795"/>
      <c r="G14" s="364">
        <v>0</v>
      </c>
      <c r="H14" s="355" t="s">
        <v>256</v>
      </c>
      <c r="I14" s="879"/>
      <c r="J14" s="796"/>
      <c r="K14" s="796"/>
      <c r="L14" s="796"/>
      <c r="M14" s="356"/>
      <c r="N14" s="363">
        <f>IF(I14="",0,I14*A14)</f>
        <v>0</v>
      </c>
      <c r="O14" s="360"/>
      <c r="P14" s="357"/>
      <c r="Q14" s="358"/>
      <c r="R14" s="316"/>
      <c r="S14" s="10"/>
      <c r="T14" s="245">
        <v>12</v>
      </c>
      <c r="U14" s="14">
        <v>12.1</v>
      </c>
      <c r="V14" s="14">
        <v>12.2</v>
      </c>
      <c r="W14" s="14">
        <v>12.3</v>
      </c>
      <c r="X14" s="14">
        <v>12.4</v>
      </c>
      <c r="Y14" s="394">
        <v>272</v>
      </c>
      <c r="Z14" s="10"/>
      <c r="AA14" s="10"/>
    </row>
    <row r="15" spans="1:27" ht="18" customHeight="1">
      <c r="A15" s="188">
        <v>-50</v>
      </c>
      <c r="B15" s="758" t="s">
        <v>252</v>
      </c>
      <c r="C15" s="795"/>
      <c r="D15" s="795"/>
      <c r="E15" s="795"/>
      <c r="F15" s="795"/>
      <c r="G15" s="760" t="s">
        <v>247</v>
      </c>
      <c r="H15" s="816"/>
      <c r="I15" s="307" t="s">
        <v>248</v>
      </c>
      <c r="J15" s="595"/>
      <c r="K15" s="307" t="s">
        <v>249</v>
      </c>
      <c r="L15" s="595"/>
      <c r="M15" s="356"/>
      <c r="N15" s="363">
        <f>IF(J15="i",-50,0)</f>
        <v>0</v>
      </c>
      <c r="O15" s="360"/>
      <c r="P15" s="357"/>
      <c r="Q15" s="358"/>
      <c r="R15" s="316"/>
      <c r="S15" s="10"/>
      <c r="T15" s="245">
        <f aca="true" t="shared" si="1" ref="T15:T25">T14+0.5</f>
        <v>12.5</v>
      </c>
      <c r="U15" s="245">
        <f aca="true" t="shared" si="2" ref="U15:U25">U14+0.5</f>
        <v>12.6</v>
      </c>
      <c r="V15" s="245">
        <f aca="true" t="shared" si="3" ref="V15:V25">V14+0.5</f>
        <v>12.7</v>
      </c>
      <c r="W15" s="245">
        <f aca="true" t="shared" si="4" ref="W15:W25">W14+0.5</f>
        <v>12.8</v>
      </c>
      <c r="X15" s="245">
        <f aca="true" t="shared" si="5" ref="X15:X25">X14+0.5</f>
        <v>12.9</v>
      </c>
      <c r="Y15" s="394">
        <f aca="true" t="shared" si="6" ref="Y15:Y25">Y14-2</f>
        <v>270</v>
      </c>
      <c r="Z15" s="10"/>
      <c r="AA15" s="10"/>
    </row>
    <row r="16" spans="1:27" ht="18" customHeight="1">
      <c r="A16" s="188">
        <v>-30</v>
      </c>
      <c r="B16" s="758" t="s">
        <v>253</v>
      </c>
      <c r="C16" s="795"/>
      <c r="D16" s="795"/>
      <c r="E16" s="795"/>
      <c r="F16" s="795"/>
      <c r="G16" s="760" t="s">
        <v>254</v>
      </c>
      <c r="H16" s="816"/>
      <c r="I16" s="307" t="s">
        <v>248</v>
      </c>
      <c r="J16" s="595"/>
      <c r="K16" s="307" t="s">
        <v>249</v>
      </c>
      <c r="L16" s="595"/>
      <c r="M16" s="356"/>
      <c r="N16" s="363">
        <f>IF(J16="i",-30,0)</f>
        <v>0</v>
      </c>
      <c r="O16" s="360"/>
      <c r="P16" s="357"/>
      <c r="Q16" s="358"/>
      <c r="R16" s="336"/>
      <c r="S16" s="10"/>
      <c r="T16" s="245">
        <f t="shared" si="1"/>
        <v>13</v>
      </c>
      <c r="U16" s="245">
        <f t="shared" si="2"/>
        <v>13.1</v>
      </c>
      <c r="V16" s="245">
        <f t="shared" si="3"/>
        <v>13.2</v>
      </c>
      <c r="W16" s="245">
        <f t="shared" si="4"/>
        <v>13.3</v>
      </c>
      <c r="X16" s="245">
        <f t="shared" si="5"/>
        <v>13.4</v>
      </c>
      <c r="Y16" s="394">
        <f t="shared" si="6"/>
        <v>268</v>
      </c>
      <c r="Z16" s="10"/>
      <c r="AA16" s="10"/>
    </row>
    <row r="17" spans="1:27" ht="18" customHeight="1">
      <c r="A17" s="195">
        <v>-30</v>
      </c>
      <c r="B17" s="767" t="s">
        <v>255</v>
      </c>
      <c r="C17" s="830"/>
      <c r="D17" s="830"/>
      <c r="E17" s="830"/>
      <c r="F17" s="830"/>
      <c r="G17" s="365">
        <v>0</v>
      </c>
      <c r="H17" s="366" t="s">
        <v>256</v>
      </c>
      <c r="I17" s="879"/>
      <c r="J17" s="796"/>
      <c r="K17" s="796"/>
      <c r="L17" s="796"/>
      <c r="M17" s="356"/>
      <c r="N17" s="363">
        <f>IF(I17="",0,I17*A17)</f>
        <v>0</v>
      </c>
      <c r="O17" s="360"/>
      <c r="P17" s="357"/>
      <c r="Q17" s="358"/>
      <c r="R17" s="316"/>
      <c r="S17" s="10"/>
      <c r="T17" s="395">
        <f t="shared" si="1"/>
        <v>13.5</v>
      </c>
      <c r="U17" s="395">
        <f t="shared" si="2"/>
        <v>13.6</v>
      </c>
      <c r="V17" s="395">
        <f t="shared" si="3"/>
        <v>13.7</v>
      </c>
      <c r="W17" s="395">
        <f t="shared" si="4"/>
        <v>13.8</v>
      </c>
      <c r="X17" s="395">
        <f t="shared" si="5"/>
        <v>13.9</v>
      </c>
      <c r="Y17" s="394">
        <f t="shared" si="6"/>
        <v>266</v>
      </c>
      <c r="Z17" s="10"/>
      <c r="AA17" s="10"/>
    </row>
    <row r="18" spans="1:27" ht="18" customHeight="1">
      <c r="A18" s="188">
        <v>-20</v>
      </c>
      <c r="B18" s="758" t="s">
        <v>257</v>
      </c>
      <c r="C18" s="795"/>
      <c r="D18" s="795"/>
      <c r="E18" s="795"/>
      <c r="F18" s="795"/>
      <c r="G18" s="760" t="s">
        <v>247</v>
      </c>
      <c r="H18" s="816"/>
      <c r="I18" s="307" t="s">
        <v>248</v>
      </c>
      <c r="J18" s="595"/>
      <c r="K18" s="307" t="s">
        <v>249</v>
      </c>
      <c r="L18" s="595"/>
      <c r="M18" s="356"/>
      <c r="N18" s="363">
        <f>IF(J18="i",-20,0)</f>
        <v>0</v>
      </c>
      <c r="O18" s="360"/>
      <c r="P18" s="357"/>
      <c r="Q18" s="358"/>
      <c r="R18" s="316"/>
      <c r="S18" s="10"/>
      <c r="T18" s="245">
        <f t="shared" si="1"/>
        <v>14</v>
      </c>
      <c r="U18" s="245">
        <f t="shared" si="2"/>
        <v>14.1</v>
      </c>
      <c r="V18" s="245">
        <f t="shared" si="3"/>
        <v>14.2</v>
      </c>
      <c r="W18" s="245">
        <f t="shared" si="4"/>
        <v>14.3</v>
      </c>
      <c r="X18" s="245">
        <f t="shared" si="5"/>
        <v>14.4</v>
      </c>
      <c r="Y18" s="394">
        <f t="shared" si="6"/>
        <v>264</v>
      </c>
      <c r="Z18" s="10"/>
      <c r="AA18" s="10"/>
    </row>
    <row r="19" spans="1:27" ht="18" customHeight="1">
      <c r="A19" s="195">
        <v>-20</v>
      </c>
      <c r="B19" s="767" t="s">
        <v>260</v>
      </c>
      <c r="C19" s="830"/>
      <c r="D19" s="830"/>
      <c r="E19" s="830"/>
      <c r="F19" s="830"/>
      <c r="G19" s="368">
        <v>0</v>
      </c>
      <c r="H19" s="355" t="s">
        <v>256</v>
      </c>
      <c r="I19" s="879"/>
      <c r="J19" s="796"/>
      <c r="K19" s="796"/>
      <c r="L19" s="796"/>
      <c r="M19" s="356"/>
      <c r="N19" s="363">
        <f aca="true" t="shared" si="7" ref="N19:N24">IF(I19="",0,I19*A19)</f>
        <v>0</v>
      </c>
      <c r="O19" s="360"/>
      <c r="P19" s="357"/>
      <c r="Q19" s="358"/>
      <c r="R19" s="316"/>
      <c r="S19" s="10"/>
      <c r="T19" s="395">
        <f t="shared" si="1"/>
        <v>14.5</v>
      </c>
      <c r="U19" s="395">
        <f t="shared" si="2"/>
        <v>14.6</v>
      </c>
      <c r="V19" s="395">
        <f t="shared" si="3"/>
        <v>14.7</v>
      </c>
      <c r="W19" s="395">
        <f t="shared" si="4"/>
        <v>14.8</v>
      </c>
      <c r="X19" s="395">
        <f t="shared" si="5"/>
        <v>14.9</v>
      </c>
      <c r="Y19" s="394">
        <f t="shared" si="6"/>
        <v>262</v>
      </c>
      <c r="Z19" s="10"/>
      <c r="AA19" s="10"/>
    </row>
    <row r="20" spans="1:27" ht="18" customHeight="1">
      <c r="A20" s="188">
        <v>-50</v>
      </c>
      <c r="B20" s="758" t="s">
        <v>261</v>
      </c>
      <c r="C20" s="815"/>
      <c r="D20" s="815"/>
      <c r="E20" s="815"/>
      <c r="F20" s="815"/>
      <c r="G20" s="364">
        <v>0</v>
      </c>
      <c r="H20" s="355" t="s">
        <v>256</v>
      </c>
      <c r="I20" s="879"/>
      <c r="J20" s="796"/>
      <c r="K20" s="796"/>
      <c r="L20" s="796"/>
      <c r="M20" s="356"/>
      <c r="N20" s="363">
        <f t="shared" si="7"/>
        <v>0</v>
      </c>
      <c r="O20" s="360"/>
      <c r="P20" s="357"/>
      <c r="Q20" s="358"/>
      <c r="R20" s="316"/>
      <c r="S20" s="10"/>
      <c r="T20" s="245">
        <f t="shared" si="1"/>
        <v>15</v>
      </c>
      <c r="U20" s="245">
        <f t="shared" si="2"/>
        <v>15.1</v>
      </c>
      <c r="V20" s="245">
        <f t="shared" si="3"/>
        <v>15.2</v>
      </c>
      <c r="W20" s="245">
        <f t="shared" si="4"/>
        <v>15.3</v>
      </c>
      <c r="X20" s="245">
        <f t="shared" si="5"/>
        <v>15.4</v>
      </c>
      <c r="Y20" s="394">
        <f t="shared" si="6"/>
        <v>260</v>
      </c>
      <c r="Z20" s="10"/>
      <c r="AA20" s="10"/>
    </row>
    <row r="21" spans="1:27" ht="18" customHeight="1">
      <c r="A21" s="188">
        <v>-20</v>
      </c>
      <c r="B21" s="758" t="s">
        <v>262</v>
      </c>
      <c r="C21" s="795"/>
      <c r="D21" s="795"/>
      <c r="E21" s="795"/>
      <c r="F21" s="795"/>
      <c r="G21" s="364">
        <v>0</v>
      </c>
      <c r="H21" s="355" t="s">
        <v>256</v>
      </c>
      <c r="I21" s="879"/>
      <c r="J21" s="796"/>
      <c r="K21" s="796"/>
      <c r="L21" s="796"/>
      <c r="M21" s="356"/>
      <c r="N21" s="363">
        <f t="shared" si="7"/>
        <v>0</v>
      </c>
      <c r="O21" s="360"/>
      <c r="P21" s="357"/>
      <c r="Q21" s="358"/>
      <c r="R21" s="316"/>
      <c r="S21" s="10"/>
      <c r="T21" s="245">
        <f t="shared" si="1"/>
        <v>15.5</v>
      </c>
      <c r="U21" s="245">
        <f t="shared" si="2"/>
        <v>15.6</v>
      </c>
      <c r="V21" s="245">
        <f t="shared" si="3"/>
        <v>15.7</v>
      </c>
      <c r="W21" s="245">
        <f t="shared" si="4"/>
        <v>15.8</v>
      </c>
      <c r="X21" s="245">
        <f t="shared" si="5"/>
        <v>15.9</v>
      </c>
      <c r="Y21" s="394">
        <f t="shared" si="6"/>
        <v>258</v>
      </c>
      <c r="Z21" s="10"/>
      <c r="AA21" s="10"/>
    </row>
    <row r="22" spans="1:27" ht="18" customHeight="1">
      <c r="A22" s="188">
        <v>-20</v>
      </c>
      <c r="B22" s="758" t="s">
        <v>263</v>
      </c>
      <c r="C22" s="795"/>
      <c r="D22" s="795"/>
      <c r="E22" s="795"/>
      <c r="F22" s="795"/>
      <c r="G22" s="364">
        <v>0</v>
      </c>
      <c r="H22" s="355" t="s">
        <v>256</v>
      </c>
      <c r="I22" s="879"/>
      <c r="J22" s="796"/>
      <c r="K22" s="796"/>
      <c r="L22" s="796"/>
      <c r="M22" s="356"/>
      <c r="N22" s="363">
        <f t="shared" si="7"/>
        <v>0</v>
      </c>
      <c r="O22" s="360"/>
      <c r="P22" s="357"/>
      <c r="Q22" s="358"/>
      <c r="R22" s="336"/>
      <c r="S22" s="10"/>
      <c r="T22" s="245">
        <f t="shared" si="1"/>
        <v>16</v>
      </c>
      <c r="U22" s="245">
        <f t="shared" si="2"/>
        <v>16.1</v>
      </c>
      <c r="V22" s="245">
        <f t="shared" si="3"/>
        <v>16.2</v>
      </c>
      <c r="W22" s="245">
        <f t="shared" si="4"/>
        <v>16.3</v>
      </c>
      <c r="X22" s="245">
        <f t="shared" si="5"/>
        <v>16.4</v>
      </c>
      <c r="Y22" s="394">
        <f t="shared" si="6"/>
        <v>256</v>
      </c>
      <c r="Z22" s="10"/>
      <c r="AA22" s="10"/>
    </row>
    <row r="23" spans="1:27" ht="18" customHeight="1">
      <c r="A23" s="188">
        <v>-20</v>
      </c>
      <c r="B23" s="758" t="s">
        <v>264</v>
      </c>
      <c r="C23" s="795"/>
      <c r="D23" s="795"/>
      <c r="E23" s="795"/>
      <c r="F23" s="795"/>
      <c r="G23" s="364">
        <v>0</v>
      </c>
      <c r="H23" s="355" t="s">
        <v>256</v>
      </c>
      <c r="I23" s="879"/>
      <c r="J23" s="796"/>
      <c r="K23" s="796"/>
      <c r="L23" s="796"/>
      <c r="M23" s="356"/>
      <c r="N23" s="363">
        <f t="shared" si="7"/>
        <v>0</v>
      </c>
      <c r="O23" s="360"/>
      <c r="P23" s="357"/>
      <c r="Q23" s="358"/>
      <c r="R23" s="316"/>
      <c r="S23" s="10"/>
      <c r="T23" s="245">
        <f t="shared" si="1"/>
        <v>16.5</v>
      </c>
      <c r="U23" s="245">
        <f t="shared" si="2"/>
        <v>16.6</v>
      </c>
      <c r="V23" s="245">
        <f t="shared" si="3"/>
        <v>16.7</v>
      </c>
      <c r="W23" s="245">
        <f t="shared" si="4"/>
        <v>16.8</v>
      </c>
      <c r="X23" s="245">
        <f t="shared" si="5"/>
        <v>16.9</v>
      </c>
      <c r="Y23" s="394">
        <f t="shared" si="6"/>
        <v>254</v>
      </c>
      <c r="Z23" s="10"/>
      <c r="AA23" s="10"/>
    </row>
    <row r="24" spans="1:27" ht="18" customHeight="1">
      <c r="A24" s="188">
        <v>-50</v>
      </c>
      <c r="B24" s="758" t="s">
        <v>265</v>
      </c>
      <c r="C24" s="795"/>
      <c r="D24" s="795"/>
      <c r="E24" s="795"/>
      <c r="F24" s="795"/>
      <c r="G24" s="364">
        <v>0</v>
      </c>
      <c r="H24" s="355" t="s">
        <v>256</v>
      </c>
      <c r="I24" s="879"/>
      <c r="J24" s="796"/>
      <c r="K24" s="796"/>
      <c r="L24" s="796"/>
      <c r="M24" s="356"/>
      <c r="N24" s="363">
        <f t="shared" si="7"/>
        <v>0</v>
      </c>
      <c r="O24" s="360"/>
      <c r="P24" s="357"/>
      <c r="Q24" s="358"/>
      <c r="R24" s="316"/>
      <c r="S24" s="10"/>
      <c r="T24" s="245">
        <f t="shared" si="1"/>
        <v>17</v>
      </c>
      <c r="U24" s="245">
        <f t="shared" si="2"/>
        <v>17.1</v>
      </c>
      <c r="V24" s="245">
        <f t="shared" si="3"/>
        <v>17.2</v>
      </c>
      <c r="W24" s="245">
        <f t="shared" si="4"/>
        <v>17.3</v>
      </c>
      <c r="X24" s="245">
        <f t="shared" si="5"/>
        <v>17.4</v>
      </c>
      <c r="Y24" s="394">
        <f t="shared" si="6"/>
        <v>252</v>
      </c>
      <c r="Z24" s="10"/>
      <c r="AA24" s="10"/>
    </row>
    <row r="25" spans="1:27" ht="18" customHeight="1">
      <c r="A25" s="396"/>
      <c r="B25" s="397"/>
      <c r="C25" s="350"/>
      <c r="D25" s="350"/>
      <c r="E25" s="350"/>
      <c r="F25" s="350"/>
      <c r="G25" s="370"/>
      <c r="H25" s="355"/>
      <c r="I25" s="888" t="s">
        <v>344</v>
      </c>
      <c r="J25" s="889"/>
      <c r="K25" s="889"/>
      <c r="L25" s="889"/>
      <c r="M25" s="356"/>
      <c r="N25" s="867">
        <f>SUM(N10:N24)</f>
        <v>0</v>
      </c>
      <c r="O25" s="752"/>
      <c r="P25" s="867">
        <f>SUM(P8:Q9)</f>
        <v>200</v>
      </c>
      <c r="Q25" s="752"/>
      <c r="R25" s="316"/>
      <c r="S25" s="10"/>
      <c r="T25" s="245">
        <f t="shared" si="1"/>
        <v>17.5</v>
      </c>
      <c r="U25" s="245">
        <f t="shared" si="2"/>
        <v>17.6</v>
      </c>
      <c r="V25" s="245">
        <f t="shared" si="3"/>
        <v>17.7</v>
      </c>
      <c r="W25" s="245">
        <f t="shared" si="4"/>
        <v>17.8</v>
      </c>
      <c r="X25" s="245">
        <f t="shared" si="5"/>
        <v>17.9</v>
      </c>
      <c r="Y25" s="394">
        <f t="shared" si="6"/>
        <v>250</v>
      </c>
      <c r="Z25" s="10"/>
      <c r="AA25" s="10"/>
    </row>
    <row r="26" spans="1:27" ht="18" customHeight="1">
      <c r="A26" s="348" t="s">
        <v>345</v>
      </c>
      <c r="B26" s="349"/>
      <c r="C26" s="350"/>
      <c r="D26" s="350"/>
      <c r="E26" s="350"/>
      <c r="F26" s="350"/>
      <c r="G26" s="370"/>
      <c r="H26" s="355"/>
      <c r="I26" s="685" t="s">
        <v>267</v>
      </c>
      <c r="J26" s="799"/>
      <c r="K26" s="799"/>
      <c r="L26" s="799"/>
      <c r="M26" s="398"/>
      <c r="N26" s="305"/>
      <c r="O26" s="802">
        <f>P25+N25</f>
        <v>200</v>
      </c>
      <c r="P26" s="800"/>
      <c r="Q26" s="306"/>
      <c r="R26" s="316"/>
      <c r="S26" s="10"/>
      <c r="T26" s="245"/>
      <c r="U26" s="245"/>
      <c r="V26" s="245"/>
      <c r="W26" s="245"/>
      <c r="X26" s="245"/>
      <c r="Y26" s="394"/>
      <c r="Z26" s="10"/>
      <c r="AA26" s="10"/>
    </row>
    <row r="27" spans="1:27" ht="18" customHeight="1">
      <c r="A27" s="399"/>
      <c r="B27" s="220"/>
      <c r="C27" s="277"/>
      <c r="D27" s="277"/>
      <c r="E27" s="277"/>
      <c r="F27" s="277"/>
      <c r="G27" s="278"/>
      <c r="H27" s="278"/>
      <c r="I27" s="339"/>
      <c r="J27" s="339"/>
      <c r="K27" s="339"/>
      <c r="L27" s="339"/>
      <c r="M27" s="339"/>
      <c r="N27" s="400"/>
      <c r="O27" s="224"/>
      <c r="P27" s="224"/>
      <c r="Q27" s="224"/>
      <c r="R27" s="10"/>
      <c r="S27" s="10"/>
      <c r="T27" s="245">
        <f>T25+0.5</f>
        <v>18</v>
      </c>
      <c r="U27" s="245">
        <f>U25+0.5</f>
        <v>18.1</v>
      </c>
      <c r="V27" s="245">
        <f>V25+0.5</f>
        <v>18.2</v>
      </c>
      <c r="W27" s="245">
        <f>W25+0.5</f>
        <v>18.3</v>
      </c>
      <c r="X27" s="245">
        <f>X25+0.5</f>
        <v>18.4</v>
      </c>
      <c r="Y27" s="394">
        <f>Y25-2</f>
        <v>248</v>
      </c>
      <c r="Z27" s="10"/>
      <c r="AA27" s="10"/>
    </row>
    <row r="28" spans="1:27" ht="12" customHeight="1">
      <c r="A28" s="154"/>
      <c r="B28" s="154"/>
      <c r="C28" s="154"/>
      <c r="D28" s="154"/>
      <c r="E28" s="154"/>
      <c r="F28" s="154"/>
      <c r="G28" s="154"/>
      <c r="H28" s="154"/>
      <c r="I28" s="227"/>
      <c r="J28" s="227"/>
      <c r="K28" s="281"/>
      <c r="L28" s="280"/>
      <c r="M28" s="280"/>
      <c r="N28" s="280"/>
      <c r="O28" s="280"/>
      <c r="P28" s="280"/>
      <c r="Q28" s="227"/>
      <c r="R28" s="227"/>
      <c r="S28" s="10"/>
      <c r="T28" s="245">
        <f aca="true" t="shared" si="8" ref="T28:T59">T27+0.5</f>
        <v>18.5</v>
      </c>
      <c r="U28" s="245">
        <f aca="true" t="shared" si="9" ref="U28:U59">U27+0.5</f>
        <v>18.6</v>
      </c>
      <c r="V28" s="245">
        <f aca="true" t="shared" si="10" ref="V28:V59">V27+0.5</f>
        <v>18.7</v>
      </c>
      <c r="W28" s="245">
        <f aca="true" t="shared" si="11" ref="W28:W59">W27+0.5</f>
        <v>18.8</v>
      </c>
      <c r="X28" s="245">
        <f aca="true" t="shared" si="12" ref="X28:X59">X27+0.5</f>
        <v>18.9</v>
      </c>
      <c r="Y28" s="394">
        <f aca="true" t="shared" si="13" ref="Y28:Y59">Y27-2</f>
        <v>246</v>
      </c>
      <c r="Z28" s="10"/>
      <c r="AA28" s="10"/>
    </row>
    <row r="29" spans="1:27" ht="12" customHeight="1">
      <c r="A29" s="878"/>
      <c r="B29" s="878"/>
      <c r="C29" s="878"/>
      <c r="D29" s="878"/>
      <c r="E29" s="235"/>
      <c r="F29" s="235"/>
      <c r="G29" s="231"/>
      <c r="H29" s="154"/>
      <c r="I29" s="230"/>
      <c r="J29" s="230"/>
      <c r="K29" s="281"/>
      <c r="L29" s="280"/>
      <c r="M29" s="280"/>
      <c r="N29" s="280"/>
      <c r="O29" s="280"/>
      <c r="P29" s="280"/>
      <c r="Q29" s="235"/>
      <c r="R29" s="235"/>
      <c r="S29" s="10"/>
      <c r="T29" s="245">
        <f t="shared" si="8"/>
        <v>19</v>
      </c>
      <c r="U29" s="245">
        <f t="shared" si="9"/>
        <v>19.1</v>
      </c>
      <c r="V29" s="245">
        <f t="shared" si="10"/>
        <v>19.2</v>
      </c>
      <c r="W29" s="245">
        <f t="shared" si="11"/>
        <v>19.3</v>
      </c>
      <c r="X29" s="245">
        <f t="shared" si="12"/>
        <v>19.4</v>
      </c>
      <c r="Y29" s="394">
        <f t="shared" si="13"/>
        <v>244</v>
      </c>
      <c r="Z29" s="10"/>
      <c r="AA29" s="10"/>
    </row>
    <row r="30" spans="1:27" ht="12" customHeight="1">
      <c r="A30" s="877"/>
      <c r="B30" s="878"/>
      <c r="C30" s="878"/>
      <c r="D30" s="878"/>
      <c r="E30" s="878"/>
      <c r="F30" s="878"/>
      <c r="G30" s="878"/>
      <c r="H30" s="878"/>
      <c r="I30" s="878"/>
      <c r="J30" s="878"/>
      <c r="K30" s="878"/>
      <c r="L30" s="878"/>
      <c r="M30" s="878"/>
      <c r="N30" s="10"/>
      <c r="O30" s="10"/>
      <c r="P30" s="10"/>
      <c r="Q30" s="10"/>
      <c r="R30" s="10"/>
      <c r="S30" s="10"/>
      <c r="T30" s="245">
        <f t="shared" si="8"/>
        <v>19.5</v>
      </c>
      <c r="U30" s="245">
        <f t="shared" si="9"/>
        <v>19.6</v>
      </c>
      <c r="V30" s="245">
        <f t="shared" si="10"/>
        <v>19.7</v>
      </c>
      <c r="W30" s="245">
        <f t="shared" si="11"/>
        <v>19.8</v>
      </c>
      <c r="X30" s="245">
        <f t="shared" si="12"/>
        <v>19.9</v>
      </c>
      <c r="Y30" s="394">
        <f t="shared" si="13"/>
        <v>242</v>
      </c>
      <c r="Z30" s="10"/>
      <c r="AA30" s="10"/>
    </row>
    <row r="31" spans="1:27" ht="12" customHeight="1">
      <c r="A31" s="877"/>
      <c r="B31" s="878"/>
      <c r="C31" s="231"/>
      <c r="D31" s="877"/>
      <c r="E31" s="878"/>
      <c r="F31" s="231"/>
      <c r="G31" s="877"/>
      <c r="H31" s="878"/>
      <c r="I31" s="231"/>
      <c r="J31" s="877"/>
      <c r="K31" s="878"/>
      <c r="L31" s="878"/>
      <c r="M31" s="231"/>
      <c r="N31" s="10"/>
      <c r="O31" s="10"/>
      <c r="P31" s="10"/>
      <c r="Q31" s="10"/>
      <c r="R31" s="10"/>
      <c r="S31" s="10"/>
      <c r="T31" s="245">
        <f t="shared" si="8"/>
        <v>20</v>
      </c>
      <c r="U31" s="245">
        <f t="shared" si="9"/>
        <v>20.1</v>
      </c>
      <c r="V31" s="245">
        <f t="shared" si="10"/>
        <v>20.2</v>
      </c>
      <c r="W31" s="245">
        <f t="shared" si="11"/>
        <v>20.3</v>
      </c>
      <c r="X31" s="245">
        <f t="shared" si="12"/>
        <v>20.4</v>
      </c>
      <c r="Y31" s="394">
        <f t="shared" si="13"/>
        <v>240</v>
      </c>
      <c r="Z31" s="10"/>
      <c r="AA31" s="10"/>
    </row>
    <row r="32" spans="1:27" ht="12" customHeight="1">
      <c r="A32" s="877"/>
      <c r="B32" s="878"/>
      <c r="C32" s="231"/>
      <c r="D32" s="877"/>
      <c r="E32" s="878"/>
      <c r="F32" s="235"/>
      <c r="G32" s="877"/>
      <c r="H32" s="878"/>
      <c r="I32" s="235"/>
      <c r="J32" s="877"/>
      <c r="K32" s="878"/>
      <c r="L32" s="878"/>
      <c r="M32" s="235"/>
      <c r="N32" s="10"/>
      <c r="O32" s="10"/>
      <c r="P32" s="10"/>
      <c r="Q32" s="10"/>
      <c r="R32" s="10"/>
      <c r="S32" s="10"/>
      <c r="T32" s="245">
        <f t="shared" si="8"/>
        <v>20.5</v>
      </c>
      <c r="U32" s="245">
        <f t="shared" si="9"/>
        <v>20.6</v>
      </c>
      <c r="V32" s="245">
        <f t="shared" si="10"/>
        <v>20.7</v>
      </c>
      <c r="W32" s="245">
        <f t="shared" si="11"/>
        <v>20.8</v>
      </c>
      <c r="X32" s="245">
        <f t="shared" si="12"/>
        <v>20.9</v>
      </c>
      <c r="Y32" s="394">
        <f t="shared" si="13"/>
        <v>238</v>
      </c>
      <c r="Z32" s="10"/>
      <c r="AA32" s="10"/>
    </row>
    <row r="33" spans="1:27" ht="12" customHeight="1">
      <c r="A33" s="877"/>
      <c r="B33" s="878"/>
      <c r="C33" s="14"/>
      <c r="D33" s="877"/>
      <c r="E33" s="878"/>
      <c r="F33" s="235"/>
      <c r="G33" s="877"/>
      <c r="H33" s="878"/>
      <c r="I33" s="235"/>
      <c r="J33" s="877"/>
      <c r="K33" s="878"/>
      <c r="L33" s="878"/>
      <c r="M33" s="235"/>
      <c r="N33" s="10"/>
      <c r="O33" s="10"/>
      <c r="P33" s="10"/>
      <c r="Q33" s="10"/>
      <c r="R33" s="10"/>
      <c r="S33" s="10"/>
      <c r="T33" s="245">
        <f t="shared" si="8"/>
        <v>21</v>
      </c>
      <c r="U33" s="245">
        <f t="shared" si="9"/>
        <v>21.1</v>
      </c>
      <c r="V33" s="245">
        <f t="shared" si="10"/>
        <v>21.2</v>
      </c>
      <c r="W33" s="245">
        <f t="shared" si="11"/>
        <v>21.3</v>
      </c>
      <c r="X33" s="245">
        <f t="shared" si="12"/>
        <v>21.4</v>
      </c>
      <c r="Y33" s="394">
        <f t="shared" si="13"/>
        <v>236</v>
      </c>
      <c r="Z33" s="10"/>
      <c r="AA33" s="10"/>
    </row>
    <row r="34" spans="1:27" ht="12" customHeight="1">
      <c r="A34" s="877"/>
      <c r="B34" s="878"/>
      <c r="C34" s="14"/>
      <c r="D34" s="877"/>
      <c r="E34" s="878"/>
      <c r="F34" s="235"/>
      <c r="G34" s="877"/>
      <c r="H34" s="878"/>
      <c r="I34" s="235"/>
      <c r="J34" s="877"/>
      <c r="K34" s="878"/>
      <c r="L34" s="878"/>
      <c r="M34" s="235"/>
      <c r="N34" s="10"/>
      <c r="O34" s="10"/>
      <c r="P34" s="10"/>
      <c r="Q34" s="10"/>
      <c r="R34" s="10"/>
      <c r="S34" s="10"/>
      <c r="T34" s="245">
        <f t="shared" si="8"/>
        <v>21.5</v>
      </c>
      <c r="U34" s="245">
        <f t="shared" si="9"/>
        <v>21.6</v>
      </c>
      <c r="V34" s="245">
        <f t="shared" si="10"/>
        <v>21.7</v>
      </c>
      <c r="W34" s="245">
        <f t="shared" si="11"/>
        <v>21.8</v>
      </c>
      <c r="X34" s="245">
        <f t="shared" si="12"/>
        <v>21.9</v>
      </c>
      <c r="Y34" s="394">
        <f t="shared" si="13"/>
        <v>234</v>
      </c>
      <c r="Z34" s="10"/>
      <c r="AA34" s="10"/>
    </row>
    <row r="35" spans="1:27" ht="12" customHeight="1">
      <c r="A35" s="877"/>
      <c r="B35" s="878"/>
      <c r="C35" s="14"/>
      <c r="D35" s="877"/>
      <c r="E35" s="878"/>
      <c r="F35" s="235"/>
      <c r="G35" s="877"/>
      <c r="H35" s="878"/>
      <c r="I35" s="235"/>
      <c r="J35" s="877"/>
      <c r="K35" s="878"/>
      <c r="L35" s="878"/>
      <c r="M35" s="235"/>
      <c r="N35" s="10"/>
      <c r="O35" s="10"/>
      <c r="P35" s="10"/>
      <c r="Q35" s="10"/>
      <c r="R35" s="10"/>
      <c r="S35" s="10"/>
      <c r="T35" s="245">
        <f t="shared" si="8"/>
        <v>22</v>
      </c>
      <c r="U35" s="245">
        <f t="shared" si="9"/>
        <v>22.1</v>
      </c>
      <c r="V35" s="245">
        <f t="shared" si="10"/>
        <v>22.2</v>
      </c>
      <c r="W35" s="245">
        <f t="shared" si="11"/>
        <v>22.3</v>
      </c>
      <c r="X35" s="245">
        <f t="shared" si="12"/>
        <v>22.4</v>
      </c>
      <c r="Y35" s="394">
        <f t="shared" si="13"/>
        <v>232</v>
      </c>
      <c r="Z35" s="10"/>
      <c r="AA35" s="10"/>
    </row>
    <row r="36" spans="1:27" ht="12" customHeight="1">
      <c r="A36" s="877"/>
      <c r="B36" s="878"/>
      <c r="C36" s="14"/>
      <c r="D36" s="877"/>
      <c r="E36" s="878"/>
      <c r="F36" s="235"/>
      <c r="G36" s="877"/>
      <c r="H36" s="878"/>
      <c r="I36" s="235"/>
      <c r="J36" s="877"/>
      <c r="K36" s="878"/>
      <c r="L36" s="878"/>
      <c r="M36" s="235"/>
      <c r="N36" s="10"/>
      <c r="O36" s="10"/>
      <c r="P36" s="10"/>
      <c r="Q36" s="10"/>
      <c r="R36" s="10"/>
      <c r="S36" s="10"/>
      <c r="T36" s="245">
        <f t="shared" si="8"/>
        <v>22.5</v>
      </c>
      <c r="U36" s="245">
        <f t="shared" si="9"/>
        <v>22.6</v>
      </c>
      <c r="V36" s="245">
        <f t="shared" si="10"/>
        <v>22.7</v>
      </c>
      <c r="W36" s="245">
        <f t="shared" si="11"/>
        <v>22.8</v>
      </c>
      <c r="X36" s="245">
        <f t="shared" si="12"/>
        <v>22.9</v>
      </c>
      <c r="Y36" s="394">
        <f t="shared" si="13"/>
        <v>230</v>
      </c>
      <c r="Z36" s="10"/>
      <c r="AA36" s="10"/>
    </row>
    <row r="37" spans="1:27" ht="12" customHeight="1">
      <c r="A37" s="877"/>
      <c r="B37" s="878"/>
      <c r="C37" s="14"/>
      <c r="D37" s="877"/>
      <c r="E37" s="878"/>
      <c r="F37" s="235"/>
      <c r="G37" s="877"/>
      <c r="H37" s="878"/>
      <c r="I37" s="235"/>
      <c r="J37" s="877"/>
      <c r="K37" s="878"/>
      <c r="L37" s="878"/>
      <c r="M37" s="235"/>
      <c r="N37" s="10"/>
      <c r="O37" s="10"/>
      <c r="P37" s="10"/>
      <c r="Q37" s="10"/>
      <c r="R37" s="10"/>
      <c r="S37" s="10"/>
      <c r="T37" s="245">
        <f t="shared" si="8"/>
        <v>23</v>
      </c>
      <c r="U37" s="245">
        <f t="shared" si="9"/>
        <v>23.1</v>
      </c>
      <c r="V37" s="245">
        <f t="shared" si="10"/>
        <v>23.2</v>
      </c>
      <c r="W37" s="245">
        <f t="shared" si="11"/>
        <v>23.3</v>
      </c>
      <c r="X37" s="245">
        <f t="shared" si="12"/>
        <v>23.4</v>
      </c>
      <c r="Y37" s="394">
        <f t="shared" si="13"/>
        <v>228</v>
      </c>
      <c r="Z37" s="10"/>
      <c r="AA37" s="10"/>
    </row>
    <row r="38" spans="1:27" ht="12" customHeight="1">
      <c r="A38" s="877"/>
      <c r="B38" s="878"/>
      <c r="C38" s="14"/>
      <c r="D38" s="877"/>
      <c r="E38" s="878"/>
      <c r="F38" s="235"/>
      <c r="G38" s="877"/>
      <c r="H38" s="878"/>
      <c r="I38" s="235"/>
      <c r="J38" s="877"/>
      <c r="K38" s="878"/>
      <c r="L38" s="878"/>
      <c r="M38" s="235"/>
      <c r="N38" s="10"/>
      <c r="O38" s="10"/>
      <c r="P38" s="10"/>
      <c r="Q38" s="10"/>
      <c r="R38" s="10"/>
      <c r="S38" s="10"/>
      <c r="T38" s="245">
        <f t="shared" si="8"/>
        <v>23.5</v>
      </c>
      <c r="U38" s="245">
        <f t="shared" si="9"/>
        <v>23.6</v>
      </c>
      <c r="V38" s="245">
        <f t="shared" si="10"/>
        <v>23.7</v>
      </c>
      <c r="W38" s="245">
        <f t="shared" si="11"/>
        <v>23.8</v>
      </c>
      <c r="X38" s="245">
        <f t="shared" si="12"/>
        <v>23.9</v>
      </c>
      <c r="Y38" s="394">
        <f t="shared" si="13"/>
        <v>226</v>
      </c>
      <c r="Z38" s="10"/>
      <c r="AA38" s="10"/>
    </row>
    <row r="39" spans="1:27" ht="12" customHeight="1">
      <c r="A39" s="877"/>
      <c r="B39" s="878"/>
      <c r="C39" s="14"/>
      <c r="D39" s="877"/>
      <c r="E39" s="878"/>
      <c r="F39" s="235"/>
      <c r="G39" s="877"/>
      <c r="H39" s="878"/>
      <c r="I39" s="235"/>
      <c r="J39" s="877"/>
      <c r="K39" s="878"/>
      <c r="L39" s="878"/>
      <c r="M39" s="235"/>
      <c r="N39" s="10"/>
      <c r="O39" s="10"/>
      <c r="P39" s="10"/>
      <c r="Q39" s="10"/>
      <c r="R39" s="10"/>
      <c r="S39" s="10"/>
      <c r="T39" s="245">
        <f t="shared" si="8"/>
        <v>24</v>
      </c>
      <c r="U39" s="245">
        <f t="shared" si="9"/>
        <v>24.1</v>
      </c>
      <c r="V39" s="245">
        <f t="shared" si="10"/>
        <v>24.2</v>
      </c>
      <c r="W39" s="245">
        <f t="shared" si="11"/>
        <v>24.3</v>
      </c>
      <c r="X39" s="245">
        <f t="shared" si="12"/>
        <v>24.4</v>
      </c>
      <c r="Y39" s="394">
        <f t="shared" si="13"/>
        <v>224</v>
      </c>
      <c r="Z39" s="10"/>
      <c r="AA39" s="10"/>
    </row>
    <row r="40" spans="1:27" ht="12" customHeight="1">
      <c r="A40" s="877"/>
      <c r="B40" s="878"/>
      <c r="C40" s="14"/>
      <c r="D40" s="877"/>
      <c r="E40" s="878"/>
      <c r="F40" s="235"/>
      <c r="G40" s="877"/>
      <c r="H40" s="878"/>
      <c r="I40" s="235"/>
      <c r="J40" s="877"/>
      <c r="K40" s="878"/>
      <c r="L40" s="878"/>
      <c r="M40" s="235"/>
      <c r="N40" s="10"/>
      <c r="O40" s="10"/>
      <c r="P40" s="10"/>
      <c r="Q40" s="10"/>
      <c r="R40" s="10"/>
      <c r="S40" s="10"/>
      <c r="T40" s="245">
        <f t="shared" si="8"/>
        <v>24.5</v>
      </c>
      <c r="U40" s="245">
        <f t="shared" si="9"/>
        <v>24.6</v>
      </c>
      <c r="V40" s="245">
        <f t="shared" si="10"/>
        <v>24.7</v>
      </c>
      <c r="W40" s="245">
        <f t="shared" si="11"/>
        <v>24.8</v>
      </c>
      <c r="X40" s="245">
        <f t="shared" si="12"/>
        <v>24.9</v>
      </c>
      <c r="Y40" s="394">
        <f t="shared" si="13"/>
        <v>222</v>
      </c>
      <c r="Z40" s="10"/>
      <c r="AA40" s="10"/>
    </row>
    <row r="41" spans="1:27" ht="12" customHeight="1">
      <c r="A41" s="877"/>
      <c r="B41" s="878"/>
      <c r="C41" s="14"/>
      <c r="D41" s="877"/>
      <c r="E41" s="878"/>
      <c r="F41" s="235"/>
      <c r="G41" s="877"/>
      <c r="H41" s="878"/>
      <c r="I41" s="235"/>
      <c r="J41" s="877"/>
      <c r="K41" s="878"/>
      <c r="L41" s="878"/>
      <c r="M41" s="235"/>
      <c r="N41" s="10"/>
      <c r="O41" s="10"/>
      <c r="P41" s="10"/>
      <c r="Q41" s="10"/>
      <c r="R41" s="10"/>
      <c r="S41" s="10"/>
      <c r="T41" s="245">
        <f t="shared" si="8"/>
        <v>25</v>
      </c>
      <c r="U41" s="245">
        <f t="shared" si="9"/>
        <v>25.1</v>
      </c>
      <c r="V41" s="245">
        <f t="shared" si="10"/>
        <v>25.2</v>
      </c>
      <c r="W41" s="245">
        <f t="shared" si="11"/>
        <v>25.3</v>
      </c>
      <c r="X41" s="245">
        <f t="shared" si="12"/>
        <v>25.4</v>
      </c>
      <c r="Y41" s="394">
        <f t="shared" si="13"/>
        <v>220</v>
      </c>
      <c r="Z41" s="10"/>
      <c r="AA41" s="10"/>
    </row>
    <row r="42" spans="1:27" ht="12" customHeight="1">
      <c r="A42" s="877"/>
      <c r="B42" s="878"/>
      <c r="C42" s="14"/>
      <c r="D42" s="886"/>
      <c r="E42" s="887"/>
      <c r="F42" s="232"/>
      <c r="G42" s="877"/>
      <c r="H42" s="878"/>
      <c r="I42" s="235"/>
      <c r="J42" s="877"/>
      <c r="K42" s="878"/>
      <c r="L42" s="878"/>
      <c r="M42" s="235"/>
      <c r="N42" s="10"/>
      <c r="O42" s="10"/>
      <c r="P42" s="10"/>
      <c r="Q42" s="10"/>
      <c r="R42" s="10"/>
      <c r="S42" s="10"/>
      <c r="T42" s="245">
        <f t="shared" si="8"/>
        <v>25.5</v>
      </c>
      <c r="U42" s="245">
        <f t="shared" si="9"/>
        <v>25.6</v>
      </c>
      <c r="V42" s="245">
        <f t="shared" si="10"/>
        <v>25.7</v>
      </c>
      <c r="W42" s="245">
        <f t="shared" si="11"/>
        <v>25.8</v>
      </c>
      <c r="X42" s="245">
        <f t="shared" si="12"/>
        <v>25.9</v>
      </c>
      <c r="Y42" s="394">
        <f t="shared" si="13"/>
        <v>218</v>
      </c>
      <c r="Z42" s="10"/>
      <c r="AA42" s="10"/>
    </row>
    <row r="43" spans="1:27" ht="12.75" customHeight="1">
      <c r="A43" s="877"/>
      <c r="B43" s="878"/>
      <c r="C43" s="14"/>
      <c r="D43" s="877"/>
      <c r="E43" s="878"/>
      <c r="F43" s="235"/>
      <c r="G43" s="877"/>
      <c r="H43" s="878"/>
      <c r="I43" s="235"/>
      <c r="J43" s="877"/>
      <c r="K43" s="878"/>
      <c r="L43" s="878"/>
      <c r="M43" s="235"/>
      <c r="N43" s="10"/>
      <c r="O43" s="10"/>
      <c r="P43" s="10"/>
      <c r="Q43" s="10"/>
      <c r="R43" s="10"/>
      <c r="S43" s="10"/>
      <c r="T43" s="245">
        <f t="shared" si="8"/>
        <v>26</v>
      </c>
      <c r="U43" s="245">
        <f t="shared" si="9"/>
        <v>26.1</v>
      </c>
      <c r="V43" s="245">
        <f t="shared" si="10"/>
        <v>26.2</v>
      </c>
      <c r="W43" s="245">
        <f t="shared" si="11"/>
        <v>26.3</v>
      </c>
      <c r="X43" s="245">
        <f t="shared" si="12"/>
        <v>26.4</v>
      </c>
      <c r="Y43" s="394">
        <f t="shared" si="13"/>
        <v>216</v>
      </c>
      <c r="Z43" s="10"/>
      <c r="AA43" s="10"/>
    </row>
    <row r="44" spans="1:27" ht="12.75" customHeight="1">
      <c r="A44" s="877"/>
      <c r="B44" s="878"/>
      <c r="C44" s="14"/>
      <c r="D44" s="877"/>
      <c r="E44" s="878"/>
      <c r="F44" s="235"/>
      <c r="G44" s="877"/>
      <c r="H44" s="878"/>
      <c r="I44" s="235"/>
      <c r="J44" s="877"/>
      <c r="K44" s="878"/>
      <c r="L44" s="878"/>
      <c r="M44" s="235"/>
      <c r="N44" s="10"/>
      <c r="O44" s="10"/>
      <c r="P44" s="10"/>
      <c r="Q44" s="10"/>
      <c r="R44" s="10"/>
      <c r="S44" s="10"/>
      <c r="T44" s="245">
        <f t="shared" si="8"/>
        <v>26.5</v>
      </c>
      <c r="U44" s="245">
        <f t="shared" si="9"/>
        <v>26.6</v>
      </c>
      <c r="V44" s="245">
        <f t="shared" si="10"/>
        <v>26.7</v>
      </c>
      <c r="W44" s="245">
        <f t="shared" si="11"/>
        <v>26.8</v>
      </c>
      <c r="X44" s="245">
        <f t="shared" si="12"/>
        <v>26.9</v>
      </c>
      <c r="Y44" s="394">
        <f t="shared" si="13"/>
        <v>214</v>
      </c>
      <c r="Z44" s="10"/>
      <c r="AA44" s="10"/>
    </row>
    <row r="45" spans="1:27" ht="12.75" customHeight="1">
      <c r="A45" s="877"/>
      <c r="B45" s="878"/>
      <c r="C45" s="14"/>
      <c r="D45" s="877"/>
      <c r="E45" s="878"/>
      <c r="F45" s="235"/>
      <c r="G45" s="877"/>
      <c r="H45" s="878"/>
      <c r="I45" s="235"/>
      <c r="J45" s="877"/>
      <c r="K45" s="878"/>
      <c r="L45" s="878"/>
      <c r="M45" s="235"/>
      <c r="N45" s="10"/>
      <c r="O45" s="10"/>
      <c r="P45" s="10"/>
      <c r="Q45" s="10"/>
      <c r="R45" s="10"/>
      <c r="S45" s="10"/>
      <c r="T45" s="245">
        <f t="shared" si="8"/>
        <v>27</v>
      </c>
      <c r="U45" s="245">
        <f t="shared" si="9"/>
        <v>27.1</v>
      </c>
      <c r="V45" s="245">
        <f t="shared" si="10"/>
        <v>27.2</v>
      </c>
      <c r="W45" s="245">
        <f t="shared" si="11"/>
        <v>27.3</v>
      </c>
      <c r="X45" s="245">
        <f t="shared" si="12"/>
        <v>27.4</v>
      </c>
      <c r="Y45" s="394">
        <f t="shared" si="13"/>
        <v>212</v>
      </c>
      <c r="Z45" s="10"/>
      <c r="AA45" s="10"/>
    </row>
    <row r="46" spans="1:27" ht="12.75" customHeight="1">
      <c r="A46" s="877"/>
      <c r="B46" s="878"/>
      <c r="C46" s="14"/>
      <c r="D46" s="877"/>
      <c r="E46" s="878"/>
      <c r="F46" s="235"/>
      <c r="G46" s="877"/>
      <c r="H46" s="878"/>
      <c r="I46" s="235"/>
      <c r="J46" s="877"/>
      <c r="K46" s="878"/>
      <c r="L46" s="878"/>
      <c r="M46" s="235"/>
      <c r="N46" s="10"/>
      <c r="O46" s="10"/>
      <c r="P46" s="10"/>
      <c r="Q46" s="10"/>
      <c r="R46" s="10"/>
      <c r="S46" s="10"/>
      <c r="T46" s="245">
        <f t="shared" si="8"/>
        <v>27.5</v>
      </c>
      <c r="U46" s="245">
        <f t="shared" si="9"/>
        <v>27.6</v>
      </c>
      <c r="V46" s="245">
        <f t="shared" si="10"/>
        <v>27.7</v>
      </c>
      <c r="W46" s="245">
        <f t="shared" si="11"/>
        <v>27.8</v>
      </c>
      <c r="X46" s="245">
        <f t="shared" si="12"/>
        <v>27.9</v>
      </c>
      <c r="Y46" s="394">
        <f t="shared" si="13"/>
        <v>210</v>
      </c>
      <c r="Z46" s="10"/>
      <c r="AA46" s="10"/>
    </row>
    <row r="47" spans="1:27" ht="12.75" customHeight="1">
      <c r="A47" s="877"/>
      <c r="B47" s="878"/>
      <c r="C47" s="14"/>
      <c r="D47" s="877"/>
      <c r="E47" s="878"/>
      <c r="F47" s="235"/>
      <c r="G47" s="877"/>
      <c r="H47" s="878"/>
      <c r="I47" s="235"/>
      <c r="J47" s="877"/>
      <c r="K47" s="878"/>
      <c r="L47" s="878"/>
      <c r="M47" s="235"/>
      <c r="N47" s="10"/>
      <c r="O47" s="10"/>
      <c r="P47" s="10"/>
      <c r="Q47" s="10"/>
      <c r="R47" s="10"/>
      <c r="S47" s="10"/>
      <c r="T47" s="245">
        <f t="shared" si="8"/>
        <v>28</v>
      </c>
      <c r="U47" s="245">
        <f t="shared" si="9"/>
        <v>28.1</v>
      </c>
      <c r="V47" s="245">
        <f t="shared" si="10"/>
        <v>28.2</v>
      </c>
      <c r="W47" s="245">
        <f t="shared" si="11"/>
        <v>28.3</v>
      </c>
      <c r="X47" s="245">
        <f t="shared" si="12"/>
        <v>28.4</v>
      </c>
      <c r="Y47" s="394">
        <f t="shared" si="13"/>
        <v>208</v>
      </c>
      <c r="Z47" s="10"/>
      <c r="AA47" s="10"/>
    </row>
    <row r="48" spans="1:27" ht="12.75" customHeight="1">
      <c r="A48" s="877"/>
      <c r="B48" s="878"/>
      <c r="C48" s="14"/>
      <c r="D48" s="877"/>
      <c r="E48" s="878"/>
      <c r="F48" s="235"/>
      <c r="G48" s="877"/>
      <c r="H48" s="878"/>
      <c r="I48" s="235"/>
      <c r="J48" s="877"/>
      <c r="K48" s="878"/>
      <c r="L48" s="878"/>
      <c r="M48" s="235"/>
      <c r="N48" s="10"/>
      <c r="O48" s="10"/>
      <c r="P48" s="10"/>
      <c r="Q48" s="10"/>
      <c r="R48" s="10"/>
      <c r="S48" s="10"/>
      <c r="T48" s="245">
        <f t="shared" si="8"/>
        <v>28.5</v>
      </c>
      <c r="U48" s="245">
        <f t="shared" si="9"/>
        <v>28.6</v>
      </c>
      <c r="V48" s="245">
        <f t="shared" si="10"/>
        <v>28.7</v>
      </c>
      <c r="W48" s="245">
        <f t="shared" si="11"/>
        <v>28.8</v>
      </c>
      <c r="X48" s="245">
        <f t="shared" si="12"/>
        <v>28.9</v>
      </c>
      <c r="Y48" s="394">
        <f t="shared" si="13"/>
        <v>206</v>
      </c>
      <c r="Z48" s="10"/>
      <c r="AA48" s="10"/>
    </row>
    <row r="49" spans="1:27" ht="12.75" customHeight="1">
      <c r="A49" s="877"/>
      <c r="B49" s="878"/>
      <c r="C49" s="14"/>
      <c r="D49" s="877"/>
      <c r="E49" s="878"/>
      <c r="F49" s="235"/>
      <c r="G49" s="877"/>
      <c r="H49" s="878"/>
      <c r="I49" s="235"/>
      <c r="J49" s="877"/>
      <c r="K49" s="878"/>
      <c r="L49" s="878"/>
      <c r="M49" s="235"/>
      <c r="N49" s="10"/>
      <c r="O49" s="10"/>
      <c r="P49" s="10"/>
      <c r="Q49" s="10"/>
      <c r="R49" s="10"/>
      <c r="S49" s="10"/>
      <c r="T49" s="245">
        <f t="shared" si="8"/>
        <v>29</v>
      </c>
      <c r="U49" s="245">
        <f t="shared" si="9"/>
        <v>29.1</v>
      </c>
      <c r="V49" s="245">
        <f t="shared" si="10"/>
        <v>29.2</v>
      </c>
      <c r="W49" s="245">
        <f t="shared" si="11"/>
        <v>29.3</v>
      </c>
      <c r="X49" s="245">
        <f t="shared" si="12"/>
        <v>29.4</v>
      </c>
      <c r="Y49" s="394">
        <f t="shared" si="13"/>
        <v>204</v>
      </c>
      <c r="Z49" s="10"/>
      <c r="AA49" s="10"/>
    </row>
    <row r="50" spans="1:27" ht="12.75" customHeight="1">
      <c r="A50" s="877"/>
      <c r="B50" s="878"/>
      <c r="C50" s="14"/>
      <c r="D50" s="877"/>
      <c r="E50" s="878"/>
      <c r="F50" s="235"/>
      <c r="G50" s="877"/>
      <c r="H50" s="878"/>
      <c r="I50" s="235"/>
      <c r="J50" s="877"/>
      <c r="K50" s="878"/>
      <c r="L50" s="878"/>
      <c r="M50" s="235"/>
      <c r="N50" s="10"/>
      <c r="O50" s="10"/>
      <c r="P50" s="10"/>
      <c r="Q50" s="10"/>
      <c r="R50" s="10"/>
      <c r="S50" s="10"/>
      <c r="T50" s="245">
        <f t="shared" si="8"/>
        <v>29.5</v>
      </c>
      <c r="U50" s="245">
        <f t="shared" si="9"/>
        <v>29.6</v>
      </c>
      <c r="V50" s="245">
        <f t="shared" si="10"/>
        <v>29.7</v>
      </c>
      <c r="W50" s="245">
        <f t="shared" si="11"/>
        <v>29.8</v>
      </c>
      <c r="X50" s="245">
        <f t="shared" si="12"/>
        <v>29.9</v>
      </c>
      <c r="Y50" s="394">
        <f t="shared" si="13"/>
        <v>202</v>
      </c>
      <c r="Z50" s="10"/>
      <c r="AA50" s="10"/>
    </row>
    <row r="51" spans="1:27" ht="12.75" customHeight="1">
      <c r="A51" s="877"/>
      <c r="B51" s="878"/>
      <c r="C51" s="14"/>
      <c r="D51" s="877"/>
      <c r="E51" s="878"/>
      <c r="F51" s="235"/>
      <c r="G51" s="877"/>
      <c r="H51" s="878"/>
      <c r="I51" s="235"/>
      <c r="J51" s="877"/>
      <c r="K51" s="878"/>
      <c r="L51" s="878"/>
      <c r="M51" s="235"/>
      <c r="N51" s="10"/>
      <c r="O51" s="10"/>
      <c r="P51" s="10"/>
      <c r="Q51" s="10"/>
      <c r="R51" s="10"/>
      <c r="S51" s="10"/>
      <c r="T51" s="245">
        <f t="shared" si="8"/>
        <v>30</v>
      </c>
      <c r="U51" s="245">
        <f t="shared" si="9"/>
        <v>30.1</v>
      </c>
      <c r="V51" s="245">
        <f t="shared" si="10"/>
        <v>30.2</v>
      </c>
      <c r="W51" s="245">
        <f t="shared" si="11"/>
        <v>30.3</v>
      </c>
      <c r="X51" s="245">
        <f t="shared" si="12"/>
        <v>30.4</v>
      </c>
      <c r="Y51" s="394">
        <f t="shared" si="13"/>
        <v>200</v>
      </c>
      <c r="Z51" s="10"/>
      <c r="AA51" s="10"/>
    </row>
    <row r="52" spans="1:27" ht="12.75" customHeight="1">
      <c r="A52" s="877"/>
      <c r="B52" s="878"/>
      <c r="C52" s="14"/>
      <c r="D52" s="877"/>
      <c r="E52" s="878"/>
      <c r="F52" s="235"/>
      <c r="G52" s="877"/>
      <c r="H52" s="878"/>
      <c r="I52" s="235"/>
      <c r="J52" s="877"/>
      <c r="K52" s="878"/>
      <c r="L52" s="878"/>
      <c r="M52" s="235"/>
      <c r="N52" s="10"/>
      <c r="O52" s="10"/>
      <c r="P52" s="10"/>
      <c r="Q52" s="10"/>
      <c r="R52" s="10"/>
      <c r="S52" s="10"/>
      <c r="T52" s="245">
        <f t="shared" si="8"/>
        <v>30.5</v>
      </c>
      <c r="U52" s="245">
        <f t="shared" si="9"/>
        <v>30.6</v>
      </c>
      <c r="V52" s="245">
        <f t="shared" si="10"/>
        <v>30.7</v>
      </c>
      <c r="W52" s="245">
        <f t="shared" si="11"/>
        <v>30.8</v>
      </c>
      <c r="X52" s="245">
        <f t="shared" si="12"/>
        <v>30.9</v>
      </c>
      <c r="Y52" s="394">
        <f t="shared" si="13"/>
        <v>198</v>
      </c>
      <c r="Z52" s="10"/>
      <c r="AA52" s="10"/>
    </row>
    <row r="53" spans="1:27" ht="12.75" customHeight="1">
      <c r="A53" s="877"/>
      <c r="B53" s="878"/>
      <c r="C53" s="14"/>
      <c r="D53" s="877"/>
      <c r="E53" s="878"/>
      <c r="F53" s="235"/>
      <c r="G53" s="877"/>
      <c r="H53" s="878"/>
      <c r="I53" s="235"/>
      <c r="J53" s="877"/>
      <c r="K53" s="878"/>
      <c r="L53" s="878"/>
      <c r="M53" s="235"/>
      <c r="N53" s="10"/>
      <c r="O53" s="10"/>
      <c r="P53" s="10"/>
      <c r="Q53" s="10"/>
      <c r="R53" s="10"/>
      <c r="S53" s="10"/>
      <c r="T53" s="245">
        <f t="shared" si="8"/>
        <v>31</v>
      </c>
      <c r="U53" s="245">
        <f t="shared" si="9"/>
        <v>31.1</v>
      </c>
      <c r="V53" s="245">
        <f t="shared" si="10"/>
        <v>31.2</v>
      </c>
      <c r="W53" s="245">
        <f t="shared" si="11"/>
        <v>31.3</v>
      </c>
      <c r="X53" s="245">
        <f t="shared" si="12"/>
        <v>31.4</v>
      </c>
      <c r="Y53" s="394">
        <f t="shared" si="13"/>
        <v>196</v>
      </c>
      <c r="Z53" s="10"/>
      <c r="AA53" s="10"/>
    </row>
    <row r="54" spans="1:27" ht="12.75" customHeight="1">
      <c r="A54" s="877"/>
      <c r="B54" s="878"/>
      <c r="C54" s="14"/>
      <c r="D54" s="877"/>
      <c r="E54" s="878"/>
      <c r="F54" s="235"/>
      <c r="G54" s="877"/>
      <c r="H54" s="878"/>
      <c r="I54" s="235"/>
      <c r="J54" s="877"/>
      <c r="K54" s="878"/>
      <c r="L54" s="878"/>
      <c r="M54" s="235"/>
      <c r="N54" s="10"/>
      <c r="O54" s="10"/>
      <c r="P54" s="10"/>
      <c r="Q54" s="10"/>
      <c r="R54" s="10"/>
      <c r="S54" s="10"/>
      <c r="T54" s="245">
        <f t="shared" si="8"/>
        <v>31.5</v>
      </c>
      <c r="U54" s="245">
        <f t="shared" si="9"/>
        <v>31.6</v>
      </c>
      <c r="V54" s="245">
        <f t="shared" si="10"/>
        <v>31.7</v>
      </c>
      <c r="W54" s="245">
        <f t="shared" si="11"/>
        <v>31.8</v>
      </c>
      <c r="X54" s="245">
        <f t="shared" si="12"/>
        <v>31.9</v>
      </c>
      <c r="Y54" s="394">
        <f t="shared" si="13"/>
        <v>194</v>
      </c>
      <c r="Z54" s="10"/>
      <c r="AA54" s="10"/>
    </row>
    <row r="55" spans="1:27" ht="12.75" customHeight="1">
      <c r="A55" s="877"/>
      <c r="B55" s="878"/>
      <c r="C55" s="14"/>
      <c r="D55" s="877"/>
      <c r="E55" s="878"/>
      <c r="F55" s="235"/>
      <c r="G55" s="877"/>
      <c r="H55" s="878"/>
      <c r="I55" s="235"/>
      <c r="J55" s="877"/>
      <c r="K55" s="878"/>
      <c r="L55" s="878"/>
      <c r="M55" s="235"/>
      <c r="N55" s="10"/>
      <c r="O55" s="10"/>
      <c r="P55" s="10"/>
      <c r="Q55" s="10"/>
      <c r="R55" s="10"/>
      <c r="S55" s="10"/>
      <c r="T55" s="245">
        <f t="shared" si="8"/>
        <v>32</v>
      </c>
      <c r="U55" s="245">
        <f t="shared" si="9"/>
        <v>32.1</v>
      </c>
      <c r="V55" s="245">
        <f t="shared" si="10"/>
        <v>32.2</v>
      </c>
      <c r="W55" s="245">
        <f t="shared" si="11"/>
        <v>32.3</v>
      </c>
      <c r="X55" s="245">
        <f t="shared" si="12"/>
        <v>32.4</v>
      </c>
      <c r="Y55" s="394">
        <f t="shared" si="13"/>
        <v>192</v>
      </c>
      <c r="Z55" s="10"/>
      <c r="AA55" s="10"/>
    </row>
    <row r="56" spans="1:27" ht="13.5" customHeight="1">
      <c r="A56" s="877"/>
      <c r="B56" s="878"/>
      <c r="C56" s="14"/>
      <c r="D56" s="877"/>
      <c r="E56" s="878"/>
      <c r="F56" s="235"/>
      <c r="G56" s="877"/>
      <c r="H56" s="878"/>
      <c r="I56" s="235"/>
      <c r="J56" s="877"/>
      <c r="K56" s="878"/>
      <c r="L56" s="878"/>
      <c r="M56" s="235"/>
      <c r="N56" s="10"/>
      <c r="O56" s="10"/>
      <c r="P56" s="10"/>
      <c r="Q56" s="10"/>
      <c r="R56" s="10"/>
      <c r="S56" s="10"/>
      <c r="T56" s="245">
        <f t="shared" si="8"/>
        <v>32.5</v>
      </c>
      <c r="U56" s="245">
        <f t="shared" si="9"/>
        <v>32.6</v>
      </c>
      <c r="V56" s="245">
        <f t="shared" si="10"/>
        <v>32.7</v>
      </c>
      <c r="W56" s="245">
        <f t="shared" si="11"/>
        <v>32.8</v>
      </c>
      <c r="X56" s="245">
        <f t="shared" si="12"/>
        <v>32.9</v>
      </c>
      <c r="Y56" s="394">
        <f t="shared" si="13"/>
        <v>190</v>
      </c>
      <c r="Z56" s="10"/>
      <c r="AA56" s="10"/>
    </row>
    <row r="57" spans="1:27" ht="13.5" customHeight="1">
      <c r="A57" s="878"/>
      <c r="B57" s="878"/>
      <c r="C57" s="14"/>
      <c r="D57" s="878"/>
      <c r="E57" s="878"/>
      <c r="F57" s="235"/>
      <c r="G57" s="878"/>
      <c r="H57" s="878"/>
      <c r="I57" s="235"/>
      <c r="J57" s="877"/>
      <c r="K57" s="878"/>
      <c r="L57" s="878"/>
      <c r="M57" s="235"/>
      <c r="N57" s="10"/>
      <c r="O57" s="10"/>
      <c r="P57" s="10"/>
      <c r="Q57" s="10"/>
      <c r="R57" s="10"/>
      <c r="S57" s="10"/>
      <c r="T57" s="245">
        <f t="shared" si="8"/>
        <v>33</v>
      </c>
      <c r="U57" s="245">
        <f t="shared" si="9"/>
        <v>33.1</v>
      </c>
      <c r="V57" s="245">
        <f t="shared" si="10"/>
        <v>33.2</v>
      </c>
      <c r="W57" s="245">
        <f t="shared" si="11"/>
        <v>33.3</v>
      </c>
      <c r="X57" s="245">
        <f t="shared" si="12"/>
        <v>33.4</v>
      </c>
      <c r="Y57" s="394">
        <f t="shared" si="13"/>
        <v>188</v>
      </c>
      <c r="Z57" s="10"/>
      <c r="AA57" s="10"/>
    </row>
    <row r="58" spans="1:27" ht="13.5" customHeight="1">
      <c r="A58" s="878"/>
      <c r="B58" s="878"/>
      <c r="C58" s="14"/>
      <c r="D58" s="878"/>
      <c r="E58" s="878"/>
      <c r="F58" s="235"/>
      <c r="G58" s="878"/>
      <c r="H58" s="878"/>
      <c r="I58" s="235"/>
      <c r="J58" s="878"/>
      <c r="K58" s="878"/>
      <c r="L58" s="878"/>
      <c r="M58" s="235"/>
      <c r="N58" s="10"/>
      <c r="O58" s="10"/>
      <c r="P58" s="10"/>
      <c r="Q58" s="10"/>
      <c r="R58" s="10"/>
      <c r="S58" s="10"/>
      <c r="T58" s="245">
        <f t="shared" si="8"/>
        <v>33.5</v>
      </c>
      <c r="U58" s="245">
        <f t="shared" si="9"/>
        <v>33.6</v>
      </c>
      <c r="V58" s="245">
        <f t="shared" si="10"/>
        <v>33.7</v>
      </c>
      <c r="W58" s="245">
        <f t="shared" si="11"/>
        <v>33.8</v>
      </c>
      <c r="X58" s="245">
        <f t="shared" si="12"/>
        <v>33.9</v>
      </c>
      <c r="Y58" s="394">
        <f t="shared" si="13"/>
        <v>186</v>
      </c>
      <c r="Z58" s="10"/>
      <c r="AA58" s="10"/>
    </row>
    <row r="59" spans="1:27" ht="13.5" customHeight="1">
      <c r="A59" s="878"/>
      <c r="B59" s="878"/>
      <c r="C59" s="14"/>
      <c r="D59" s="878"/>
      <c r="E59" s="878"/>
      <c r="F59" s="235"/>
      <c r="G59" s="878"/>
      <c r="H59" s="878"/>
      <c r="I59" s="235"/>
      <c r="J59" s="878"/>
      <c r="K59" s="878"/>
      <c r="L59" s="878"/>
      <c r="M59" s="235"/>
      <c r="N59" s="10"/>
      <c r="O59" s="10"/>
      <c r="P59" s="10"/>
      <c r="Q59" s="10"/>
      <c r="R59" s="10"/>
      <c r="S59" s="10"/>
      <c r="T59" s="245">
        <f t="shared" si="8"/>
        <v>34</v>
      </c>
      <c r="U59" s="245">
        <f t="shared" si="9"/>
        <v>34.1</v>
      </c>
      <c r="V59" s="245">
        <f t="shared" si="10"/>
        <v>34.2</v>
      </c>
      <c r="W59" s="245">
        <f t="shared" si="11"/>
        <v>34.3</v>
      </c>
      <c r="X59" s="245">
        <f t="shared" si="12"/>
        <v>34.4</v>
      </c>
      <c r="Y59" s="394">
        <f t="shared" si="13"/>
        <v>184</v>
      </c>
      <c r="Z59" s="10"/>
      <c r="AA59" s="10"/>
    </row>
    <row r="60" spans="1:27" ht="13.5" customHeight="1">
      <c r="A60" s="878"/>
      <c r="B60" s="878"/>
      <c r="C60" s="14"/>
      <c r="D60" s="878"/>
      <c r="E60" s="878"/>
      <c r="F60" s="235"/>
      <c r="G60" s="878"/>
      <c r="H60" s="878"/>
      <c r="I60" s="235"/>
      <c r="J60" s="878"/>
      <c r="K60" s="878"/>
      <c r="L60" s="878"/>
      <c r="M60" s="235"/>
      <c r="N60" s="10"/>
      <c r="O60" s="10"/>
      <c r="P60" s="10"/>
      <c r="Q60" s="10"/>
      <c r="R60" s="10"/>
      <c r="S60" s="10"/>
      <c r="T60" s="245">
        <f aca="true" t="shared" si="14" ref="T60:T91">T59+0.5</f>
        <v>34.5</v>
      </c>
      <c r="U60" s="245">
        <f aca="true" t="shared" si="15" ref="U60:U91">U59+0.5</f>
        <v>34.6</v>
      </c>
      <c r="V60" s="245">
        <f aca="true" t="shared" si="16" ref="V60:V91">V59+0.5</f>
        <v>34.7</v>
      </c>
      <c r="W60" s="245">
        <f aca="true" t="shared" si="17" ref="W60:W91">W59+0.5</f>
        <v>34.8</v>
      </c>
      <c r="X60" s="245">
        <f aca="true" t="shared" si="18" ref="X60:X91">X59+0.5</f>
        <v>34.9</v>
      </c>
      <c r="Y60" s="394">
        <f aca="true" t="shared" si="19" ref="Y60:Y91">Y59-2</f>
        <v>182</v>
      </c>
      <c r="Z60" s="10"/>
      <c r="AA60" s="10"/>
    </row>
    <row r="61" spans="1:27" ht="13.5" customHeight="1">
      <c r="A61" s="878"/>
      <c r="B61" s="878"/>
      <c r="C61" s="14"/>
      <c r="D61" s="878"/>
      <c r="E61" s="878"/>
      <c r="F61" s="235"/>
      <c r="G61" s="878"/>
      <c r="H61" s="878"/>
      <c r="I61" s="235"/>
      <c r="J61" s="878"/>
      <c r="K61" s="878"/>
      <c r="L61" s="878"/>
      <c r="M61" s="235"/>
      <c r="N61" s="10"/>
      <c r="O61" s="10"/>
      <c r="P61" s="10"/>
      <c r="Q61" s="10"/>
      <c r="R61" s="10"/>
      <c r="S61" s="10"/>
      <c r="T61" s="245">
        <f t="shared" si="14"/>
        <v>35</v>
      </c>
      <c r="U61" s="245">
        <f t="shared" si="15"/>
        <v>35.1</v>
      </c>
      <c r="V61" s="245">
        <f t="shared" si="16"/>
        <v>35.2</v>
      </c>
      <c r="W61" s="245">
        <f t="shared" si="17"/>
        <v>35.3</v>
      </c>
      <c r="X61" s="245">
        <f t="shared" si="18"/>
        <v>35.4</v>
      </c>
      <c r="Y61" s="394">
        <f t="shared" si="19"/>
        <v>180</v>
      </c>
      <c r="Z61" s="10"/>
      <c r="AA61" s="10"/>
    </row>
    <row r="62" spans="1:27" ht="13.5" customHeight="1">
      <c r="A62" s="878"/>
      <c r="B62" s="878"/>
      <c r="C62" s="14"/>
      <c r="D62" s="878"/>
      <c r="E62" s="878"/>
      <c r="F62" s="235"/>
      <c r="G62" s="878"/>
      <c r="H62" s="878"/>
      <c r="I62" s="235"/>
      <c r="J62" s="878"/>
      <c r="K62" s="878"/>
      <c r="L62" s="878"/>
      <c r="M62" s="235"/>
      <c r="N62" s="10"/>
      <c r="O62" s="10"/>
      <c r="P62" s="10"/>
      <c r="Q62" s="10"/>
      <c r="R62" s="10"/>
      <c r="S62" s="10"/>
      <c r="T62" s="245">
        <f t="shared" si="14"/>
        <v>35.5</v>
      </c>
      <c r="U62" s="245">
        <f t="shared" si="15"/>
        <v>35.6</v>
      </c>
      <c r="V62" s="245">
        <f t="shared" si="16"/>
        <v>35.7</v>
      </c>
      <c r="W62" s="245">
        <f t="shared" si="17"/>
        <v>35.8</v>
      </c>
      <c r="X62" s="245">
        <f t="shared" si="18"/>
        <v>35.9</v>
      </c>
      <c r="Y62" s="394">
        <f t="shared" si="19"/>
        <v>178</v>
      </c>
      <c r="Z62" s="10"/>
      <c r="AA62" s="10"/>
    </row>
    <row r="63" spans="1:27" ht="13.5" customHeight="1">
      <c r="A63" s="878"/>
      <c r="B63" s="878"/>
      <c r="C63" s="14"/>
      <c r="D63" s="878"/>
      <c r="E63" s="878"/>
      <c r="F63" s="235"/>
      <c r="G63" s="878"/>
      <c r="H63" s="878"/>
      <c r="I63" s="235"/>
      <c r="J63" s="878"/>
      <c r="K63" s="878"/>
      <c r="L63" s="878"/>
      <c r="M63" s="235"/>
      <c r="N63" s="10"/>
      <c r="O63" s="10"/>
      <c r="P63" s="10"/>
      <c r="Q63" s="10"/>
      <c r="R63" s="10"/>
      <c r="S63" s="10"/>
      <c r="T63" s="245">
        <f t="shared" si="14"/>
        <v>36</v>
      </c>
      <c r="U63" s="245">
        <f t="shared" si="15"/>
        <v>36.1</v>
      </c>
      <c r="V63" s="245">
        <f t="shared" si="16"/>
        <v>36.2</v>
      </c>
      <c r="W63" s="245">
        <f t="shared" si="17"/>
        <v>36.3</v>
      </c>
      <c r="X63" s="245">
        <f t="shared" si="18"/>
        <v>36.4</v>
      </c>
      <c r="Y63" s="394">
        <f t="shared" si="19"/>
        <v>176</v>
      </c>
      <c r="Z63" s="10"/>
      <c r="AA63" s="10"/>
    </row>
    <row r="64" spans="1:27" ht="13.5" customHeight="1">
      <c r="A64" s="878"/>
      <c r="B64" s="878"/>
      <c r="C64" s="14"/>
      <c r="D64" s="878"/>
      <c r="E64" s="878"/>
      <c r="F64" s="235"/>
      <c r="G64" s="878"/>
      <c r="H64" s="878"/>
      <c r="I64" s="235"/>
      <c r="J64" s="878"/>
      <c r="K64" s="878"/>
      <c r="L64" s="878"/>
      <c r="M64" s="235"/>
      <c r="N64" s="10"/>
      <c r="O64" s="10"/>
      <c r="P64" s="10"/>
      <c r="Q64" s="10"/>
      <c r="R64" s="10"/>
      <c r="S64" s="10"/>
      <c r="T64" s="245">
        <f t="shared" si="14"/>
        <v>36.5</v>
      </c>
      <c r="U64" s="245">
        <f t="shared" si="15"/>
        <v>36.6</v>
      </c>
      <c r="V64" s="245">
        <f t="shared" si="16"/>
        <v>36.7</v>
      </c>
      <c r="W64" s="245">
        <f t="shared" si="17"/>
        <v>36.8</v>
      </c>
      <c r="X64" s="245">
        <f t="shared" si="18"/>
        <v>36.9</v>
      </c>
      <c r="Y64" s="394">
        <f t="shared" si="19"/>
        <v>174</v>
      </c>
      <c r="Z64" s="10"/>
      <c r="AA64" s="10"/>
    </row>
    <row r="65" spans="1:27" ht="13.5" customHeight="1">
      <c r="A65" s="878"/>
      <c r="B65" s="878"/>
      <c r="C65" s="14"/>
      <c r="D65" s="878"/>
      <c r="E65" s="878"/>
      <c r="F65" s="235"/>
      <c r="G65" s="878"/>
      <c r="H65" s="878"/>
      <c r="I65" s="235"/>
      <c r="J65" s="878"/>
      <c r="K65" s="878"/>
      <c r="L65" s="878"/>
      <c r="M65" s="235"/>
      <c r="N65" s="10"/>
      <c r="O65" s="10"/>
      <c r="P65" s="10"/>
      <c r="Q65" s="10"/>
      <c r="R65" s="10"/>
      <c r="S65" s="10"/>
      <c r="T65" s="245">
        <f t="shared" si="14"/>
        <v>37</v>
      </c>
      <c r="U65" s="245">
        <f t="shared" si="15"/>
        <v>37.1</v>
      </c>
      <c r="V65" s="245">
        <f t="shared" si="16"/>
        <v>37.2</v>
      </c>
      <c r="W65" s="245">
        <f t="shared" si="17"/>
        <v>37.3</v>
      </c>
      <c r="X65" s="245">
        <f t="shared" si="18"/>
        <v>37.4</v>
      </c>
      <c r="Y65" s="394">
        <f t="shared" si="19"/>
        <v>172</v>
      </c>
      <c r="Z65" s="10"/>
      <c r="AA65" s="10"/>
    </row>
    <row r="66" spans="1:27" ht="13.5" customHeight="1">
      <c r="A66" s="878"/>
      <c r="B66" s="878"/>
      <c r="C66" s="14"/>
      <c r="D66" s="878"/>
      <c r="E66" s="878"/>
      <c r="F66" s="235"/>
      <c r="G66" s="878"/>
      <c r="H66" s="878"/>
      <c r="I66" s="235"/>
      <c r="J66" s="878"/>
      <c r="K66" s="878"/>
      <c r="L66" s="878"/>
      <c r="M66" s="235"/>
      <c r="N66" s="10"/>
      <c r="O66" s="10"/>
      <c r="P66" s="10"/>
      <c r="Q66" s="10"/>
      <c r="R66" s="10"/>
      <c r="S66" s="10"/>
      <c r="T66" s="245">
        <f t="shared" si="14"/>
        <v>37.5</v>
      </c>
      <c r="U66" s="245">
        <f t="shared" si="15"/>
        <v>37.6</v>
      </c>
      <c r="V66" s="245">
        <f t="shared" si="16"/>
        <v>37.7</v>
      </c>
      <c r="W66" s="245">
        <f t="shared" si="17"/>
        <v>37.8</v>
      </c>
      <c r="X66" s="245">
        <f t="shared" si="18"/>
        <v>37.9</v>
      </c>
      <c r="Y66" s="394">
        <f t="shared" si="19"/>
        <v>170</v>
      </c>
      <c r="Z66" s="10"/>
      <c r="AA66" s="10"/>
    </row>
    <row r="67" spans="1:27" ht="13.5" customHeight="1">
      <c r="A67" s="878"/>
      <c r="B67" s="878"/>
      <c r="C67" s="14"/>
      <c r="D67" s="878"/>
      <c r="E67" s="878"/>
      <c r="F67" s="235"/>
      <c r="G67" s="878"/>
      <c r="H67" s="878"/>
      <c r="I67" s="235"/>
      <c r="J67" s="878"/>
      <c r="K67" s="878"/>
      <c r="L67" s="878"/>
      <c r="M67" s="235"/>
      <c r="N67" s="10"/>
      <c r="O67" s="10"/>
      <c r="P67" s="10"/>
      <c r="Q67" s="10"/>
      <c r="R67" s="10"/>
      <c r="S67" s="10"/>
      <c r="T67" s="245">
        <f t="shared" si="14"/>
        <v>38</v>
      </c>
      <c r="U67" s="245">
        <f t="shared" si="15"/>
        <v>38.1</v>
      </c>
      <c r="V67" s="245">
        <f t="shared" si="16"/>
        <v>38.2</v>
      </c>
      <c r="W67" s="245">
        <f t="shared" si="17"/>
        <v>38.3</v>
      </c>
      <c r="X67" s="245">
        <f t="shared" si="18"/>
        <v>38.4</v>
      </c>
      <c r="Y67" s="394">
        <f t="shared" si="19"/>
        <v>168</v>
      </c>
      <c r="Z67" s="10"/>
      <c r="AA67" s="10"/>
    </row>
    <row r="68" spans="1:27" ht="13.5" customHeight="1">
      <c r="A68" s="878"/>
      <c r="B68" s="878"/>
      <c r="C68" s="14"/>
      <c r="D68" s="878"/>
      <c r="E68" s="878"/>
      <c r="F68" s="235"/>
      <c r="G68" s="878"/>
      <c r="H68" s="878"/>
      <c r="I68" s="235"/>
      <c r="J68" s="878"/>
      <c r="K68" s="878"/>
      <c r="L68" s="878"/>
      <c r="M68" s="235"/>
      <c r="N68" s="10"/>
      <c r="O68" s="10"/>
      <c r="P68" s="10"/>
      <c r="Q68" s="10"/>
      <c r="R68" s="10"/>
      <c r="S68" s="10"/>
      <c r="T68" s="245">
        <f t="shared" si="14"/>
        <v>38.5</v>
      </c>
      <c r="U68" s="245">
        <f t="shared" si="15"/>
        <v>38.6</v>
      </c>
      <c r="V68" s="245">
        <f t="shared" si="16"/>
        <v>38.7</v>
      </c>
      <c r="W68" s="245">
        <f t="shared" si="17"/>
        <v>38.8</v>
      </c>
      <c r="X68" s="245">
        <f t="shared" si="18"/>
        <v>38.9</v>
      </c>
      <c r="Y68" s="394">
        <f t="shared" si="19"/>
        <v>166</v>
      </c>
      <c r="Z68" s="10"/>
      <c r="AA68" s="10"/>
    </row>
    <row r="69" spans="1:27" ht="13.5" customHeight="1">
      <c r="A69" s="878"/>
      <c r="B69" s="878"/>
      <c r="C69" s="14"/>
      <c r="D69" s="878"/>
      <c r="E69" s="878"/>
      <c r="F69" s="235"/>
      <c r="G69" s="878"/>
      <c r="H69" s="878"/>
      <c r="I69" s="235"/>
      <c r="J69" s="878"/>
      <c r="K69" s="878"/>
      <c r="L69" s="878"/>
      <c r="M69" s="235"/>
      <c r="N69" s="10"/>
      <c r="O69" s="10"/>
      <c r="P69" s="10"/>
      <c r="Q69" s="10"/>
      <c r="R69" s="10"/>
      <c r="S69" s="10"/>
      <c r="T69" s="245">
        <f t="shared" si="14"/>
        <v>39</v>
      </c>
      <c r="U69" s="245">
        <f t="shared" si="15"/>
        <v>39.1</v>
      </c>
      <c r="V69" s="245">
        <f t="shared" si="16"/>
        <v>39.2</v>
      </c>
      <c r="W69" s="245">
        <f t="shared" si="17"/>
        <v>39.3</v>
      </c>
      <c r="X69" s="245">
        <f t="shared" si="18"/>
        <v>39.4</v>
      </c>
      <c r="Y69" s="394">
        <f t="shared" si="19"/>
        <v>164</v>
      </c>
      <c r="Z69" s="10"/>
      <c r="AA69" s="10"/>
    </row>
    <row r="70" spans="1:27" ht="13.5" customHeight="1">
      <c r="A70" s="878"/>
      <c r="B70" s="878"/>
      <c r="C70" s="14"/>
      <c r="D70" s="878"/>
      <c r="E70" s="878"/>
      <c r="F70" s="235"/>
      <c r="G70" s="878"/>
      <c r="H70" s="878"/>
      <c r="I70" s="235"/>
      <c r="J70" s="878"/>
      <c r="K70" s="878"/>
      <c r="L70" s="878"/>
      <c r="M70" s="235"/>
      <c r="N70" s="10"/>
      <c r="O70" s="10"/>
      <c r="P70" s="10"/>
      <c r="Q70" s="10"/>
      <c r="R70" s="10"/>
      <c r="S70" s="10"/>
      <c r="T70" s="245">
        <f t="shared" si="14"/>
        <v>39.5</v>
      </c>
      <c r="U70" s="245">
        <f t="shared" si="15"/>
        <v>39.6</v>
      </c>
      <c r="V70" s="245">
        <f t="shared" si="16"/>
        <v>39.7</v>
      </c>
      <c r="W70" s="245">
        <f t="shared" si="17"/>
        <v>39.8</v>
      </c>
      <c r="X70" s="245">
        <f t="shared" si="18"/>
        <v>39.9</v>
      </c>
      <c r="Y70" s="394">
        <f t="shared" si="19"/>
        <v>162</v>
      </c>
      <c r="Z70" s="10"/>
      <c r="AA70" s="10"/>
    </row>
    <row r="71" spans="1:27" ht="13.5" customHeight="1">
      <c r="A71" s="878"/>
      <c r="B71" s="878"/>
      <c r="C71" s="14"/>
      <c r="D71" s="878"/>
      <c r="E71" s="878"/>
      <c r="F71" s="235"/>
      <c r="G71" s="878"/>
      <c r="H71" s="878"/>
      <c r="I71" s="235"/>
      <c r="J71" s="878"/>
      <c r="K71" s="878"/>
      <c r="L71" s="878"/>
      <c r="M71" s="235"/>
      <c r="N71" s="10"/>
      <c r="O71" s="10"/>
      <c r="P71" s="10"/>
      <c r="Q71" s="10"/>
      <c r="R71" s="10"/>
      <c r="S71" s="10"/>
      <c r="T71" s="245">
        <f t="shared" si="14"/>
        <v>40</v>
      </c>
      <c r="U71" s="245">
        <f t="shared" si="15"/>
        <v>40.1</v>
      </c>
      <c r="V71" s="245">
        <f t="shared" si="16"/>
        <v>40.2</v>
      </c>
      <c r="W71" s="245">
        <f t="shared" si="17"/>
        <v>40.3</v>
      </c>
      <c r="X71" s="245">
        <f t="shared" si="18"/>
        <v>40.4</v>
      </c>
      <c r="Y71" s="394">
        <f t="shared" si="19"/>
        <v>160</v>
      </c>
      <c r="Z71" s="10"/>
      <c r="AA71" s="10"/>
    </row>
    <row r="72" spans="1:27" ht="13.5" customHeight="1">
      <c r="A72" s="878"/>
      <c r="B72" s="878"/>
      <c r="C72" s="14"/>
      <c r="D72" s="878"/>
      <c r="E72" s="878"/>
      <c r="F72" s="235"/>
      <c r="G72" s="878"/>
      <c r="H72" s="878"/>
      <c r="I72" s="235"/>
      <c r="J72" s="878"/>
      <c r="K72" s="878"/>
      <c r="L72" s="878"/>
      <c r="M72" s="235"/>
      <c r="N72" s="10"/>
      <c r="O72" s="10"/>
      <c r="P72" s="10"/>
      <c r="Q72" s="10"/>
      <c r="R72" s="10"/>
      <c r="S72" s="10"/>
      <c r="T72" s="245">
        <f t="shared" si="14"/>
        <v>40.5</v>
      </c>
      <c r="U72" s="245">
        <f t="shared" si="15"/>
        <v>40.6</v>
      </c>
      <c r="V72" s="245">
        <f t="shared" si="16"/>
        <v>40.7</v>
      </c>
      <c r="W72" s="245">
        <f t="shared" si="17"/>
        <v>40.8</v>
      </c>
      <c r="X72" s="245">
        <f t="shared" si="18"/>
        <v>40.9</v>
      </c>
      <c r="Y72" s="394">
        <f t="shared" si="19"/>
        <v>158</v>
      </c>
      <c r="Z72" s="10"/>
      <c r="AA72" s="10"/>
    </row>
    <row r="73" spans="1:27" ht="13.5" customHeight="1">
      <c r="A73" s="878"/>
      <c r="B73" s="878"/>
      <c r="C73" s="14"/>
      <c r="D73" s="878"/>
      <c r="E73" s="878"/>
      <c r="F73" s="235"/>
      <c r="G73" s="878"/>
      <c r="H73" s="878"/>
      <c r="I73" s="235"/>
      <c r="J73" s="878"/>
      <c r="K73" s="878"/>
      <c r="L73" s="878"/>
      <c r="M73" s="235"/>
      <c r="N73" s="10"/>
      <c r="O73" s="10"/>
      <c r="P73" s="10"/>
      <c r="Q73" s="10"/>
      <c r="R73" s="10"/>
      <c r="S73" s="10"/>
      <c r="T73" s="245">
        <f t="shared" si="14"/>
        <v>41</v>
      </c>
      <c r="U73" s="245">
        <f t="shared" si="15"/>
        <v>41.1</v>
      </c>
      <c r="V73" s="245">
        <f t="shared" si="16"/>
        <v>41.2</v>
      </c>
      <c r="W73" s="245">
        <f t="shared" si="17"/>
        <v>41.3</v>
      </c>
      <c r="X73" s="245">
        <f t="shared" si="18"/>
        <v>41.4</v>
      </c>
      <c r="Y73" s="394">
        <f t="shared" si="19"/>
        <v>156</v>
      </c>
      <c r="Z73" s="10"/>
      <c r="AA73" s="10"/>
    </row>
    <row r="74" spans="1:27" ht="13.5" customHeight="1">
      <c r="A74" s="878"/>
      <c r="B74" s="878"/>
      <c r="C74" s="14"/>
      <c r="D74" s="878"/>
      <c r="E74" s="878"/>
      <c r="F74" s="235"/>
      <c r="G74" s="878"/>
      <c r="H74" s="878"/>
      <c r="I74" s="235"/>
      <c r="J74" s="878"/>
      <c r="K74" s="878"/>
      <c r="L74" s="878"/>
      <c r="M74" s="235"/>
      <c r="N74" s="10"/>
      <c r="O74" s="10"/>
      <c r="P74" s="10"/>
      <c r="Q74" s="10"/>
      <c r="R74" s="10"/>
      <c r="S74" s="10"/>
      <c r="T74" s="245">
        <f t="shared" si="14"/>
        <v>41.5</v>
      </c>
      <c r="U74" s="245">
        <f t="shared" si="15"/>
        <v>41.6</v>
      </c>
      <c r="V74" s="245">
        <f t="shared" si="16"/>
        <v>41.7</v>
      </c>
      <c r="W74" s="245">
        <f t="shared" si="17"/>
        <v>41.8</v>
      </c>
      <c r="X74" s="245">
        <f t="shared" si="18"/>
        <v>41.9</v>
      </c>
      <c r="Y74" s="394">
        <f t="shared" si="19"/>
        <v>154</v>
      </c>
      <c r="Z74" s="10"/>
      <c r="AA74" s="10"/>
    </row>
    <row r="75" spans="1:27" ht="13.5" customHeight="1">
      <c r="A75" s="878"/>
      <c r="B75" s="878"/>
      <c r="C75" s="14"/>
      <c r="D75" s="878"/>
      <c r="E75" s="878"/>
      <c r="F75" s="235"/>
      <c r="G75" s="878"/>
      <c r="H75" s="878"/>
      <c r="I75" s="235"/>
      <c r="J75" s="878"/>
      <c r="K75" s="878"/>
      <c r="L75" s="878"/>
      <c r="M75" s="235"/>
      <c r="N75" s="10"/>
      <c r="O75" s="10"/>
      <c r="P75" s="10"/>
      <c r="Q75" s="10"/>
      <c r="R75" s="10"/>
      <c r="S75" s="10"/>
      <c r="T75" s="245">
        <f t="shared" si="14"/>
        <v>42</v>
      </c>
      <c r="U75" s="245">
        <f t="shared" si="15"/>
        <v>42.1</v>
      </c>
      <c r="V75" s="245">
        <f t="shared" si="16"/>
        <v>42.2</v>
      </c>
      <c r="W75" s="245">
        <f t="shared" si="17"/>
        <v>42.3</v>
      </c>
      <c r="X75" s="245">
        <f t="shared" si="18"/>
        <v>42.4</v>
      </c>
      <c r="Y75" s="394">
        <f t="shared" si="19"/>
        <v>152</v>
      </c>
      <c r="Z75" s="10"/>
      <c r="AA75" s="10"/>
    </row>
    <row r="76" spans="1:27" ht="13.5" customHeight="1">
      <c r="A76" s="878"/>
      <c r="B76" s="878"/>
      <c r="C76" s="14"/>
      <c r="D76" s="878"/>
      <c r="E76" s="878"/>
      <c r="F76" s="235"/>
      <c r="G76" s="878"/>
      <c r="H76" s="878"/>
      <c r="I76" s="235"/>
      <c r="J76" s="878"/>
      <c r="K76" s="878"/>
      <c r="L76" s="878"/>
      <c r="M76" s="235"/>
      <c r="N76" s="10"/>
      <c r="O76" s="10"/>
      <c r="P76" s="10"/>
      <c r="Q76" s="10"/>
      <c r="R76" s="10"/>
      <c r="S76" s="10"/>
      <c r="T76" s="245">
        <f t="shared" si="14"/>
        <v>42.5</v>
      </c>
      <c r="U76" s="245">
        <f t="shared" si="15"/>
        <v>42.6</v>
      </c>
      <c r="V76" s="245">
        <f t="shared" si="16"/>
        <v>42.7</v>
      </c>
      <c r="W76" s="245">
        <f t="shared" si="17"/>
        <v>42.8</v>
      </c>
      <c r="X76" s="245">
        <f t="shared" si="18"/>
        <v>42.9</v>
      </c>
      <c r="Y76" s="394">
        <f t="shared" si="19"/>
        <v>150</v>
      </c>
      <c r="Z76" s="10"/>
      <c r="AA76" s="10"/>
    </row>
    <row r="77" spans="1:27" ht="13.5" customHeight="1">
      <c r="A77" s="878"/>
      <c r="B77" s="878"/>
      <c r="C77" s="14"/>
      <c r="D77" s="878"/>
      <c r="E77" s="878"/>
      <c r="F77" s="235"/>
      <c r="G77" s="878"/>
      <c r="H77" s="878"/>
      <c r="I77" s="235"/>
      <c r="J77" s="878"/>
      <c r="K77" s="878"/>
      <c r="L77" s="878"/>
      <c r="M77" s="235"/>
      <c r="N77" s="10"/>
      <c r="O77" s="10"/>
      <c r="P77" s="10"/>
      <c r="Q77" s="10"/>
      <c r="R77" s="10"/>
      <c r="S77" s="10"/>
      <c r="T77" s="245">
        <f t="shared" si="14"/>
        <v>43</v>
      </c>
      <c r="U77" s="245">
        <f t="shared" si="15"/>
        <v>43.1</v>
      </c>
      <c r="V77" s="245">
        <f t="shared" si="16"/>
        <v>43.2</v>
      </c>
      <c r="W77" s="245">
        <f t="shared" si="17"/>
        <v>43.3</v>
      </c>
      <c r="X77" s="245">
        <f t="shared" si="18"/>
        <v>43.4</v>
      </c>
      <c r="Y77" s="394">
        <f t="shared" si="19"/>
        <v>148</v>
      </c>
      <c r="Z77" s="10"/>
      <c r="AA77" s="10"/>
    </row>
    <row r="78" spans="1:27" ht="13.5" customHeight="1">
      <c r="A78" s="878"/>
      <c r="B78" s="878"/>
      <c r="C78" s="14"/>
      <c r="D78" s="878"/>
      <c r="E78" s="878"/>
      <c r="F78" s="235"/>
      <c r="G78" s="878"/>
      <c r="H78" s="878"/>
      <c r="I78" s="235"/>
      <c r="J78" s="878"/>
      <c r="K78" s="878"/>
      <c r="L78" s="878"/>
      <c r="M78" s="235"/>
      <c r="N78" s="10"/>
      <c r="O78" s="10"/>
      <c r="P78" s="10"/>
      <c r="Q78" s="10"/>
      <c r="R78" s="10"/>
      <c r="S78" s="10"/>
      <c r="T78" s="245">
        <f t="shared" si="14"/>
        <v>43.5</v>
      </c>
      <c r="U78" s="245">
        <f t="shared" si="15"/>
        <v>43.6</v>
      </c>
      <c r="V78" s="245">
        <f t="shared" si="16"/>
        <v>43.7</v>
      </c>
      <c r="W78" s="245">
        <f t="shared" si="17"/>
        <v>43.8</v>
      </c>
      <c r="X78" s="245">
        <f t="shared" si="18"/>
        <v>43.9</v>
      </c>
      <c r="Y78" s="394">
        <f t="shared" si="19"/>
        <v>146</v>
      </c>
      <c r="Z78" s="10"/>
      <c r="AA78" s="10"/>
    </row>
    <row r="79" spans="1:27" ht="13.5" customHeight="1">
      <c r="A79" s="878"/>
      <c r="B79" s="878"/>
      <c r="C79" s="14"/>
      <c r="D79" s="878"/>
      <c r="E79" s="878"/>
      <c r="F79" s="235"/>
      <c r="G79" s="878"/>
      <c r="H79" s="878"/>
      <c r="I79" s="235"/>
      <c r="J79" s="878"/>
      <c r="K79" s="878"/>
      <c r="L79" s="878"/>
      <c r="M79" s="235"/>
      <c r="N79" s="10"/>
      <c r="O79" s="10"/>
      <c r="P79" s="10"/>
      <c r="Q79" s="10"/>
      <c r="R79" s="10"/>
      <c r="S79" s="10"/>
      <c r="T79" s="245">
        <f t="shared" si="14"/>
        <v>44</v>
      </c>
      <c r="U79" s="245">
        <f t="shared" si="15"/>
        <v>44.1</v>
      </c>
      <c r="V79" s="245">
        <f t="shared" si="16"/>
        <v>44.2</v>
      </c>
      <c r="W79" s="245">
        <f t="shared" si="17"/>
        <v>44.3</v>
      </c>
      <c r="X79" s="245">
        <f t="shared" si="18"/>
        <v>44.4</v>
      </c>
      <c r="Y79" s="394">
        <f t="shared" si="19"/>
        <v>144</v>
      </c>
      <c r="Z79" s="10"/>
      <c r="AA79" s="10"/>
    </row>
    <row r="80" spans="1:27" ht="13.5" customHeight="1">
      <c r="A80" s="878"/>
      <c r="B80" s="878"/>
      <c r="C80" s="14"/>
      <c r="D80" s="878"/>
      <c r="E80" s="878"/>
      <c r="F80" s="235"/>
      <c r="G80" s="878"/>
      <c r="H80" s="878"/>
      <c r="I80" s="235"/>
      <c r="J80" s="878"/>
      <c r="K80" s="878"/>
      <c r="L80" s="878"/>
      <c r="M80" s="235"/>
      <c r="N80" s="10"/>
      <c r="O80" s="10"/>
      <c r="P80" s="10"/>
      <c r="Q80" s="10"/>
      <c r="R80" s="10"/>
      <c r="S80" s="10"/>
      <c r="T80" s="245">
        <f t="shared" si="14"/>
        <v>44.5</v>
      </c>
      <c r="U80" s="245">
        <f t="shared" si="15"/>
        <v>44.6</v>
      </c>
      <c r="V80" s="245">
        <f t="shared" si="16"/>
        <v>44.7</v>
      </c>
      <c r="W80" s="245">
        <f t="shared" si="17"/>
        <v>44.8</v>
      </c>
      <c r="X80" s="245">
        <f t="shared" si="18"/>
        <v>44.9</v>
      </c>
      <c r="Y80" s="394">
        <f t="shared" si="19"/>
        <v>142</v>
      </c>
      <c r="Z80" s="10"/>
      <c r="AA80" s="10"/>
    </row>
    <row r="81" spans="1:27" ht="13.5" customHeight="1">
      <c r="A81" s="878"/>
      <c r="B81" s="878"/>
      <c r="C81" s="14"/>
      <c r="D81" s="878"/>
      <c r="E81" s="878"/>
      <c r="F81" s="235"/>
      <c r="G81" s="878"/>
      <c r="H81" s="878"/>
      <c r="I81" s="235"/>
      <c r="J81" s="878"/>
      <c r="K81" s="878"/>
      <c r="L81" s="878"/>
      <c r="M81" s="235"/>
      <c r="N81" s="10"/>
      <c r="O81" s="10"/>
      <c r="P81" s="10"/>
      <c r="Q81" s="10"/>
      <c r="R81" s="10"/>
      <c r="S81" s="10"/>
      <c r="T81" s="245">
        <f t="shared" si="14"/>
        <v>45</v>
      </c>
      <c r="U81" s="245">
        <f t="shared" si="15"/>
        <v>45.1</v>
      </c>
      <c r="V81" s="245">
        <f t="shared" si="16"/>
        <v>45.2</v>
      </c>
      <c r="W81" s="245">
        <f t="shared" si="17"/>
        <v>45.3</v>
      </c>
      <c r="X81" s="245">
        <f t="shared" si="18"/>
        <v>45.4</v>
      </c>
      <c r="Y81" s="394">
        <f t="shared" si="19"/>
        <v>140</v>
      </c>
      <c r="Z81" s="10"/>
      <c r="AA81" s="10"/>
    </row>
    <row r="82" spans="1:27" ht="13.5" customHeight="1">
      <c r="A82" s="878"/>
      <c r="B82" s="878"/>
      <c r="C82" s="14"/>
      <c r="D82" s="878"/>
      <c r="E82" s="878"/>
      <c r="F82" s="235"/>
      <c r="G82" s="878"/>
      <c r="H82" s="878"/>
      <c r="I82" s="235"/>
      <c r="J82" s="878"/>
      <c r="K82" s="878"/>
      <c r="L82" s="878"/>
      <c r="M82" s="235"/>
      <c r="N82" s="10"/>
      <c r="O82" s="10"/>
      <c r="P82" s="10"/>
      <c r="Q82" s="10"/>
      <c r="R82" s="10"/>
      <c r="S82" s="10"/>
      <c r="T82" s="245">
        <f t="shared" si="14"/>
        <v>45.5</v>
      </c>
      <c r="U82" s="245">
        <f t="shared" si="15"/>
        <v>45.6</v>
      </c>
      <c r="V82" s="245">
        <f t="shared" si="16"/>
        <v>45.7</v>
      </c>
      <c r="W82" s="245">
        <f t="shared" si="17"/>
        <v>45.8</v>
      </c>
      <c r="X82" s="245">
        <f t="shared" si="18"/>
        <v>45.9</v>
      </c>
      <c r="Y82" s="394">
        <f t="shared" si="19"/>
        <v>138</v>
      </c>
      <c r="Z82" s="10"/>
      <c r="AA82" s="10"/>
    </row>
    <row r="83" spans="1:27" ht="13.5" customHeight="1">
      <c r="A83" s="878"/>
      <c r="B83" s="878"/>
      <c r="C83" s="14"/>
      <c r="D83" s="878"/>
      <c r="E83" s="878"/>
      <c r="F83" s="235"/>
      <c r="G83" s="878"/>
      <c r="H83" s="878"/>
      <c r="I83" s="235"/>
      <c r="J83" s="878"/>
      <c r="K83" s="878"/>
      <c r="L83" s="878"/>
      <c r="M83" s="235"/>
      <c r="N83" s="10"/>
      <c r="O83" s="10"/>
      <c r="P83" s="10"/>
      <c r="Q83" s="10"/>
      <c r="R83" s="10"/>
      <c r="S83" s="10"/>
      <c r="T83" s="245">
        <f t="shared" si="14"/>
        <v>46</v>
      </c>
      <c r="U83" s="245">
        <f t="shared" si="15"/>
        <v>46.1</v>
      </c>
      <c r="V83" s="245">
        <f t="shared" si="16"/>
        <v>46.2</v>
      </c>
      <c r="W83" s="245">
        <f t="shared" si="17"/>
        <v>46.3</v>
      </c>
      <c r="X83" s="245">
        <f t="shared" si="18"/>
        <v>46.4</v>
      </c>
      <c r="Y83" s="394">
        <f t="shared" si="19"/>
        <v>136</v>
      </c>
      <c r="Z83" s="10"/>
      <c r="AA83" s="10"/>
    </row>
    <row r="84" spans="1:27" ht="13.5" customHeight="1">
      <c r="A84" s="878"/>
      <c r="B84" s="878"/>
      <c r="C84" s="14"/>
      <c r="D84" s="878"/>
      <c r="E84" s="878"/>
      <c r="F84" s="235"/>
      <c r="G84" s="878"/>
      <c r="H84" s="878"/>
      <c r="I84" s="235"/>
      <c r="J84" s="878"/>
      <c r="K84" s="878"/>
      <c r="L84" s="878"/>
      <c r="M84" s="235"/>
      <c r="N84" s="10"/>
      <c r="O84" s="10"/>
      <c r="P84" s="10"/>
      <c r="Q84" s="10"/>
      <c r="R84" s="10"/>
      <c r="S84" s="10"/>
      <c r="T84" s="245">
        <f t="shared" si="14"/>
        <v>46.5</v>
      </c>
      <c r="U84" s="245">
        <f t="shared" si="15"/>
        <v>46.6</v>
      </c>
      <c r="V84" s="245">
        <f t="shared" si="16"/>
        <v>46.7</v>
      </c>
      <c r="W84" s="245">
        <f t="shared" si="17"/>
        <v>46.8</v>
      </c>
      <c r="X84" s="245">
        <f t="shared" si="18"/>
        <v>46.9</v>
      </c>
      <c r="Y84" s="394">
        <f t="shared" si="19"/>
        <v>134</v>
      </c>
      <c r="Z84" s="10"/>
      <c r="AA84" s="10"/>
    </row>
    <row r="85" spans="1:27" ht="13.5" customHeight="1">
      <c r="A85" s="878"/>
      <c r="B85" s="878"/>
      <c r="C85" s="14"/>
      <c r="D85" s="878"/>
      <c r="E85" s="878"/>
      <c r="F85" s="235"/>
      <c r="G85" s="878"/>
      <c r="H85" s="878"/>
      <c r="I85" s="235"/>
      <c r="J85" s="878"/>
      <c r="K85" s="878"/>
      <c r="L85" s="878"/>
      <c r="M85" s="235"/>
      <c r="N85" s="10"/>
      <c r="O85" s="10"/>
      <c r="P85" s="10"/>
      <c r="Q85" s="10"/>
      <c r="R85" s="10"/>
      <c r="S85" s="10"/>
      <c r="T85" s="245">
        <f t="shared" si="14"/>
        <v>47</v>
      </c>
      <c r="U85" s="245">
        <f t="shared" si="15"/>
        <v>47.1</v>
      </c>
      <c r="V85" s="245">
        <f t="shared" si="16"/>
        <v>47.2</v>
      </c>
      <c r="W85" s="245">
        <f t="shared" si="17"/>
        <v>47.3</v>
      </c>
      <c r="X85" s="245">
        <f t="shared" si="18"/>
        <v>47.4</v>
      </c>
      <c r="Y85" s="394">
        <f t="shared" si="19"/>
        <v>132</v>
      </c>
      <c r="Z85" s="10"/>
      <c r="AA85" s="10"/>
    </row>
    <row r="86" spans="1:27" ht="13.5" customHeight="1">
      <c r="A86" s="878"/>
      <c r="B86" s="878"/>
      <c r="C86" s="14"/>
      <c r="D86" s="878"/>
      <c r="E86" s="878"/>
      <c r="F86" s="235"/>
      <c r="G86" s="878"/>
      <c r="H86" s="878"/>
      <c r="I86" s="235"/>
      <c r="J86" s="878"/>
      <c r="K86" s="878"/>
      <c r="L86" s="878"/>
      <c r="M86" s="235"/>
      <c r="N86" s="10"/>
      <c r="O86" s="10"/>
      <c r="P86" s="10"/>
      <c r="Q86" s="10"/>
      <c r="R86" s="10"/>
      <c r="S86" s="10"/>
      <c r="T86" s="245">
        <f t="shared" si="14"/>
        <v>47.5</v>
      </c>
      <c r="U86" s="245">
        <f t="shared" si="15"/>
        <v>47.6</v>
      </c>
      <c r="V86" s="245">
        <f t="shared" si="16"/>
        <v>47.7</v>
      </c>
      <c r="W86" s="245">
        <f t="shared" si="17"/>
        <v>47.8</v>
      </c>
      <c r="X86" s="245">
        <f t="shared" si="18"/>
        <v>47.9</v>
      </c>
      <c r="Y86" s="394">
        <f t="shared" si="19"/>
        <v>130</v>
      </c>
      <c r="Z86" s="10"/>
      <c r="AA86" s="10"/>
    </row>
    <row r="87" spans="1:27" ht="13.5" customHeight="1">
      <c r="A87" s="878"/>
      <c r="B87" s="878"/>
      <c r="C87" s="14"/>
      <c r="D87" s="878"/>
      <c r="E87" s="878"/>
      <c r="F87" s="235"/>
      <c r="G87" s="878"/>
      <c r="H87" s="878"/>
      <c r="I87" s="235"/>
      <c r="J87" s="878"/>
      <c r="K87" s="878"/>
      <c r="L87" s="878"/>
      <c r="M87" s="235"/>
      <c r="N87" s="10"/>
      <c r="O87" s="10"/>
      <c r="P87" s="10"/>
      <c r="Q87" s="10"/>
      <c r="R87" s="10"/>
      <c r="S87" s="10"/>
      <c r="T87" s="245">
        <f t="shared" si="14"/>
        <v>48</v>
      </c>
      <c r="U87" s="245">
        <f t="shared" si="15"/>
        <v>48.1</v>
      </c>
      <c r="V87" s="245">
        <f t="shared" si="16"/>
        <v>48.2</v>
      </c>
      <c r="W87" s="245">
        <f t="shared" si="17"/>
        <v>48.3</v>
      </c>
      <c r="X87" s="245">
        <f t="shared" si="18"/>
        <v>48.4</v>
      </c>
      <c r="Y87" s="394">
        <f t="shared" si="19"/>
        <v>128</v>
      </c>
      <c r="Z87" s="10"/>
      <c r="AA87" s="10"/>
    </row>
    <row r="88" spans="1:27" ht="13.5" customHeight="1">
      <c r="A88" s="878"/>
      <c r="B88" s="878"/>
      <c r="C88" s="14"/>
      <c r="D88" s="878"/>
      <c r="E88" s="878"/>
      <c r="F88" s="235"/>
      <c r="G88" s="878"/>
      <c r="H88" s="878"/>
      <c r="I88" s="235"/>
      <c r="J88" s="878"/>
      <c r="K88" s="878"/>
      <c r="L88" s="878"/>
      <c r="M88" s="235"/>
      <c r="N88" s="10"/>
      <c r="O88" s="10"/>
      <c r="P88" s="10"/>
      <c r="Q88" s="10"/>
      <c r="R88" s="10"/>
      <c r="S88" s="10"/>
      <c r="T88" s="245">
        <f t="shared" si="14"/>
        <v>48.5</v>
      </c>
      <c r="U88" s="245">
        <f t="shared" si="15"/>
        <v>48.6</v>
      </c>
      <c r="V88" s="245">
        <f t="shared" si="16"/>
        <v>48.7</v>
      </c>
      <c r="W88" s="245">
        <f t="shared" si="17"/>
        <v>48.8</v>
      </c>
      <c r="X88" s="245">
        <f t="shared" si="18"/>
        <v>48.9</v>
      </c>
      <c r="Y88" s="394">
        <f t="shared" si="19"/>
        <v>126</v>
      </c>
      <c r="Z88" s="10"/>
      <c r="AA88" s="10"/>
    </row>
    <row r="89" spans="1:27" ht="13.5" customHeight="1">
      <c r="A89" s="878"/>
      <c r="B89" s="878"/>
      <c r="C89" s="14"/>
      <c r="D89" s="878"/>
      <c r="E89" s="878"/>
      <c r="F89" s="235"/>
      <c r="G89" s="878"/>
      <c r="H89" s="878"/>
      <c r="I89" s="235"/>
      <c r="J89" s="878"/>
      <c r="K89" s="878"/>
      <c r="L89" s="878"/>
      <c r="M89" s="235"/>
      <c r="N89" s="10"/>
      <c r="O89" s="10"/>
      <c r="P89" s="10"/>
      <c r="Q89" s="10"/>
      <c r="R89" s="10"/>
      <c r="S89" s="10"/>
      <c r="T89" s="245">
        <f t="shared" si="14"/>
        <v>49</v>
      </c>
      <c r="U89" s="245">
        <f t="shared" si="15"/>
        <v>49.1</v>
      </c>
      <c r="V89" s="245">
        <f t="shared" si="16"/>
        <v>49.2</v>
      </c>
      <c r="W89" s="245">
        <f t="shared" si="17"/>
        <v>49.3</v>
      </c>
      <c r="X89" s="245">
        <f t="shared" si="18"/>
        <v>49.4</v>
      </c>
      <c r="Y89" s="394">
        <f t="shared" si="19"/>
        <v>124</v>
      </c>
      <c r="Z89" s="10"/>
      <c r="AA89" s="10"/>
    </row>
    <row r="90" spans="1:27" ht="13.5" customHeight="1">
      <c r="A90" s="878"/>
      <c r="B90" s="878"/>
      <c r="C90" s="14"/>
      <c r="D90" s="878"/>
      <c r="E90" s="878"/>
      <c r="F90" s="235"/>
      <c r="G90" s="878"/>
      <c r="H90" s="878"/>
      <c r="I90" s="235"/>
      <c r="J90" s="878"/>
      <c r="K90" s="878"/>
      <c r="L90" s="878"/>
      <c r="M90" s="235"/>
      <c r="N90" s="10"/>
      <c r="O90" s="10"/>
      <c r="P90" s="10"/>
      <c r="Q90" s="10"/>
      <c r="R90" s="10"/>
      <c r="S90" s="10"/>
      <c r="T90" s="245">
        <f t="shared" si="14"/>
        <v>49.5</v>
      </c>
      <c r="U90" s="245">
        <f t="shared" si="15"/>
        <v>49.6</v>
      </c>
      <c r="V90" s="245">
        <f t="shared" si="16"/>
        <v>49.7</v>
      </c>
      <c r="W90" s="245">
        <f t="shared" si="17"/>
        <v>49.8</v>
      </c>
      <c r="X90" s="245">
        <f t="shared" si="18"/>
        <v>49.9</v>
      </c>
      <c r="Y90" s="394">
        <f t="shared" si="19"/>
        <v>122</v>
      </c>
      <c r="Z90" s="10"/>
      <c r="AA90" s="10"/>
    </row>
    <row r="91" spans="1:27" ht="13.5" customHeight="1">
      <c r="A91" s="878"/>
      <c r="B91" s="878"/>
      <c r="C91" s="14"/>
      <c r="D91" s="878"/>
      <c r="E91" s="878"/>
      <c r="F91" s="235"/>
      <c r="G91" s="878"/>
      <c r="H91" s="878"/>
      <c r="I91" s="235"/>
      <c r="J91" s="878"/>
      <c r="K91" s="878"/>
      <c r="L91" s="878"/>
      <c r="M91" s="235"/>
      <c r="N91" s="10"/>
      <c r="O91" s="10"/>
      <c r="P91" s="10"/>
      <c r="Q91" s="10"/>
      <c r="R91" s="10"/>
      <c r="S91" s="10"/>
      <c r="T91" s="245">
        <f t="shared" si="14"/>
        <v>50</v>
      </c>
      <c r="U91" s="245">
        <f t="shared" si="15"/>
        <v>50.1</v>
      </c>
      <c r="V91" s="245">
        <f t="shared" si="16"/>
        <v>50.2</v>
      </c>
      <c r="W91" s="245">
        <f t="shared" si="17"/>
        <v>50.3</v>
      </c>
      <c r="X91" s="245">
        <f t="shared" si="18"/>
        <v>50.4</v>
      </c>
      <c r="Y91" s="394">
        <f t="shared" si="19"/>
        <v>120</v>
      </c>
      <c r="Z91" s="10"/>
      <c r="AA91" s="10"/>
    </row>
    <row r="92" spans="1:27" ht="13.5" customHeight="1">
      <c r="A92" s="878"/>
      <c r="B92" s="878"/>
      <c r="C92" s="14"/>
      <c r="D92" s="878"/>
      <c r="E92" s="878"/>
      <c r="F92" s="235"/>
      <c r="G92" s="878"/>
      <c r="H92" s="878"/>
      <c r="I92" s="235"/>
      <c r="J92" s="878"/>
      <c r="K92" s="878"/>
      <c r="L92" s="878"/>
      <c r="M92" s="235"/>
      <c r="N92" s="10"/>
      <c r="O92" s="10"/>
      <c r="P92" s="10"/>
      <c r="Q92" s="10"/>
      <c r="R92" s="10"/>
      <c r="S92" s="10"/>
      <c r="T92" s="245">
        <f aca="true" t="shared" si="20" ref="T92:T123">T91+0.5</f>
        <v>50.5</v>
      </c>
      <c r="U92" s="245">
        <f aca="true" t="shared" si="21" ref="U92:U123">U91+0.5</f>
        <v>50.6</v>
      </c>
      <c r="V92" s="245">
        <f aca="true" t="shared" si="22" ref="V92:V123">V91+0.5</f>
        <v>50.7</v>
      </c>
      <c r="W92" s="245">
        <f aca="true" t="shared" si="23" ref="W92:W123">W91+0.5</f>
        <v>50.8</v>
      </c>
      <c r="X92" s="245">
        <f aca="true" t="shared" si="24" ref="X92:X123">X91+0.5</f>
        <v>50.9</v>
      </c>
      <c r="Y92" s="394">
        <f aca="true" t="shared" si="25" ref="Y92:Y123">Y91-2</f>
        <v>118</v>
      </c>
      <c r="Z92" s="10"/>
      <c r="AA92" s="10"/>
    </row>
    <row r="93" spans="1:27" ht="13.5" customHeight="1">
      <c r="A93" s="878"/>
      <c r="B93" s="878"/>
      <c r="C93" s="14"/>
      <c r="D93" s="878"/>
      <c r="E93" s="878"/>
      <c r="F93" s="235"/>
      <c r="G93" s="878"/>
      <c r="H93" s="878"/>
      <c r="I93" s="235"/>
      <c r="J93" s="878"/>
      <c r="K93" s="878"/>
      <c r="L93" s="878"/>
      <c r="M93" s="235"/>
      <c r="N93" s="10"/>
      <c r="O93" s="10"/>
      <c r="P93" s="10"/>
      <c r="Q93" s="10"/>
      <c r="R93" s="10"/>
      <c r="S93" s="10"/>
      <c r="T93" s="245">
        <f t="shared" si="20"/>
        <v>51</v>
      </c>
      <c r="U93" s="245">
        <f t="shared" si="21"/>
        <v>51.1</v>
      </c>
      <c r="V93" s="245">
        <f t="shared" si="22"/>
        <v>51.2</v>
      </c>
      <c r="W93" s="245">
        <f t="shared" si="23"/>
        <v>51.3</v>
      </c>
      <c r="X93" s="245">
        <f t="shared" si="24"/>
        <v>51.4</v>
      </c>
      <c r="Y93" s="394">
        <f t="shared" si="25"/>
        <v>116</v>
      </c>
      <c r="Z93" s="10"/>
      <c r="AA93" s="10"/>
    </row>
    <row r="94" spans="1:27" ht="13.5" customHeight="1">
      <c r="A94" s="878"/>
      <c r="B94" s="878"/>
      <c r="C94" s="14"/>
      <c r="D94" s="878"/>
      <c r="E94" s="878"/>
      <c r="F94" s="235"/>
      <c r="G94" s="878"/>
      <c r="H94" s="878"/>
      <c r="I94" s="235"/>
      <c r="J94" s="878"/>
      <c r="K94" s="878"/>
      <c r="L94" s="878"/>
      <c r="M94" s="235"/>
      <c r="N94" s="10"/>
      <c r="O94" s="10"/>
      <c r="P94" s="10"/>
      <c r="Q94" s="10"/>
      <c r="R94" s="10"/>
      <c r="S94" s="10"/>
      <c r="T94" s="245">
        <f t="shared" si="20"/>
        <v>51.5</v>
      </c>
      <c r="U94" s="245">
        <f t="shared" si="21"/>
        <v>51.6</v>
      </c>
      <c r="V94" s="245">
        <f t="shared" si="22"/>
        <v>51.7</v>
      </c>
      <c r="W94" s="245">
        <f t="shared" si="23"/>
        <v>51.8</v>
      </c>
      <c r="X94" s="245">
        <f t="shared" si="24"/>
        <v>51.9</v>
      </c>
      <c r="Y94" s="394">
        <f t="shared" si="25"/>
        <v>114</v>
      </c>
      <c r="Z94" s="10"/>
      <c r="AA94" s="10"/>
    </row>
    <row r="95" spans="1:27" ht="13.5" customHeight="1">
      <c r="A95" s="878"/>
      <c r="B95" s="878"/>
      <c r="C95" s="14"/>
      <c r="D95" s="878"/>
      <c r="E95" s="878"/>
      <c r="F95" s="235"/>
      <c r="G95" s="878"/>
      <c r="H95" s="878"/>
      <c r="I95" s="235"/>
      <c r="J95" s="878"/>
      <c r="K95" s="878"/>
      <c r="L95" s="878"/>
      <c r="M95" s="235"/>
      <c r="N95" s="10"/>
      <c r="O95" s="10"/>
      <c r="P95" s="10"/>
      <c r="Q95" s="10"/>
      <c r="R95" s="10"/>
      <c r="S95" s="10"/>
      <c r="T95" s="245">
        <f t="shared" si="20"/>
        <v>52</v>
      </c>
      <c r="U95" s="245">
        <f t="shared" si="21"/>
        <v>52.1</v>
      </c>
      <c r="V95" s="245">
        <f t="shared" si="22"/>
        <v>52.2</v>
      </c>
      <c r="W95" s="245">
        <f t="shared" si="23"/>
        <v>52.3</v>
      </c>
      <c r="X95" s="245">
        <f t="shared" si="24"/>
        <v>52.4</v>
      </c>
      <c r="Y95" s="394">
        <f t="shared" si="25"/>
        <v>112</v>
      </c>
      <c r="Z95" s="10"/>
      <c r="AA95" s="10"/>
    </row>
    <row r="96" spans="1:27" ht="12" customHeight="1">
      <c r="A96" s="154"/>
      <c r="B96" s="154"/>
      <c r="C96" s="154"/>
      <c r="D96" s="154"/>
      <c r="E96" s="154"/>
      <c r="F96" s="154"/>
      <c r="G96" s="154"/>
      <c r="H96" s="154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245">
        <f t="shared" si="20"/>
        <v>52.5</v>
      </c>
      <c r="U96" s="245">
        <f t="shared" si="21"/>
        <v>52.6</v>
      </c>
      <c r="V96" s="245">
        <f t="shared" si="22"/>
        <v>52.7</v>
      </c>
      <c r="W96" s="245">
        <f t="shared" si="23"/>
        <v>52.8</v>
      </c>
      <c r="X96" s="245">
        <f t="shared" si="24"/>
        <v>52.9</v>
      </c>
      <c r="Y96" s="394">
        <f t="shared" si="25"/>
        <v>110</v>
      </c>
      <c r="Z96" s="10"/>
      <c r="AA96" s="10"/>
    </row>
    <row r="97" spans="1:27" ht="12" customHeight="1">
      <c r="A97" s="154"/>
      <c r="B97" s="154"/>
      <c r="C97" s="154"/>
      <c r="D97" s="154"/>
      <c r="E97" s="154"/>
      <c r="F97" s="154"/>
      <c r="G97" s="154"/>
      <c r="H97" s="154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245">
        <f t="shared" si="20"/>
        <v>53</v>
      </c>
      <c r="U97" s="245">
        <f t="shared" si="21"/>
        <v>53.1</v>
      </c>
      <c r="V97" s="245">
        <f t="shared" si="22"/>
        <v>53.2</v>
      </c>
      <c r="W97" s="245">
        <f t="shared" si="23"/>
        <v>53.3</v>
      </c>
      <c r="X97" s="245">
        <f t="shared" si="24"/>
        <v>53.4</v>
      </c>
      <c r="Y97" s="394">
        <f t="shared" si="25"/>
        <v>108</v>
      </c>
      <c r="Z97" s="10"/>
      <c r="AA97" s="10"/>
    </row>
    <row r="98" spans="1:27" ht="12" customHeight="1">
      <c r="A98" s="154"/>
      <c r="B98" s="154"/>
      <c r="C98" s="154"/>
      <c r="D98" s="154"/>
      <c r="E98" s="154"/>
      <c r="F98" s="154"/>
      <c r="G98" s="154"/>
      <c r="H98" s="154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245">
        <f t="shared" si="20"/>
        <v>53.5</v>
      </c>
      <c r="U98" s="245">
        <f t="shared" si="21"/>
        <v>53.6</v>
      </c>
      <c r="V98" s="245">
        <f t="shared" si="22"/>
        <v>53.7</v>
      </c>
      <c r="W98" s="245">
        <f t="shared" si="23"/>
        <v>53.8</v>
      </c>
      <c r="X98" s="245">
        <f t="shared" si="24"/>
        <v>53.9</v>
      </c>
      <c r="Y98" s="394">
        <f t="shared" si="25"/>
        <v>106</v>
      </c>
      <c r="Z98" s="10"/>
      <c r="AA98" s="10"/>
    </row>
    <row r="99" spans="1:27" ht="12" customHeight="1">
      <c r="A99" s="154"/>
      <c r="B99" s="154"/>
      <c r="C99" s="154"/>
      <c r="D99" s="154"/>
      <c r="E99" s="154"/>
      <c r="F99" s="154"/>
      <c r="G99" s="154"/>
      <c r="H99" s="154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245">
        <f t="shared" si="20"/>
        <v>54</v>
      </c>
      <c r="U99" s="245">
        <f t="shared" si="21"/>
        <v>54.1</v>
      </c>
      <c r="V99" s="245">
        <f t="shared" si="22"/>
        <v>54.2</v>
      </c>
      <c r="W99" s="245">
        <f t="shared" si="23"/>
        <v>54.3</v>
      </c>
      <c r="X99" s="245">
        <f t="shared" si="24"/>
        <v>54.4</v>
      </c>
      <c r="Y99" s="394">
        <f t="shared" si="25"/>
        <v>104</v>
      </c>
      <c r="Z99" s="10"/>
      <c r="AA99" s="10"/>
    </row>
    <row r="100" spans="1:27" ht="12" customHeight="1">
      <c r="A100" s="154"/>
      <c r="B100" s="154"/>
      <c r="C100" s="154"/>
      <c r="D100" s="154"/>
      <c r="E100" s="154"/>
      <c r="F100" s="154"/>
      <c r="G100" s="154"/>
      <c r="H100" s="154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245">
        <f t="shared" si="20"/>
        <v>54.5</v>
      </c>
      <c r="U100" s="245">
        <f t="shared" si="21"/>
        <v>54.6</v>
      </c>
      <c r="V100" s="245">
        <f t="shared" si="22"/>
        <v>54.7</v>
      </c>
      <c r="W100" s="245">
        <f t="shared" si="23"/>
        <v>54.8</v>
      </c>
      <c r="X100" s="245">
        <f t="shared" si="24"/>
        <v>54.9</v>
      </c>
      <c r="Y100" s="394">
        <f t="shared" si="25"/>
        <v>102</v>
      </c>
      <c r="Z100" s="10"/>
      <c r="AA100" s="10"/>
    </row>
    <row r="101" spans="1:27" ht="12" customHeight="1">
      <c r="A101" s="154"/>
      <c r="B101" s="154"/>
      <c r="C101" s="154"/>
      <c r="D101" s="154"/>
      <c r="E101" s="154"/>
      <c r="F101" s="154"/>
      <c r="G101" s="154"/>
      <c r="H101" s="154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245">
        <f t="shared" si="20"/>
        <v>55</v>
      </c>
      <c r="U101" s="245">
        <f t="shared" si="21"/>
        <v>55.1</v>
      </c>
      <c r="V101" s="245">
        <f t="shared" si="22"/>
        <v>55.2</v>
      </c>
      <c r="W101" s="245">
        <f t="shared" si="23"/>
        <v>55.3</v>
      </c>
      <c r="X101" s="245">
        <f t="shared" si="24"/>
        <v>55.4</v>
      </c>
      <c r="Y101" s="394">
        <f t="shared" si="25"/>
        <v>100</v>
      </c>
      <c r="Z101" s="10"/>
      <c r="AA101" s="10"/>
    </row>
    <row r="102" spans="1:27" ht="12" customHeight="1">
      <c r="A102" s="154"/>
      <c r="B102" s="154"/>
      <c r="C102" s="154"/>
      <c r="D102" s="154"/>
      <c r="E102" s="154"/>
      <c r="F102" s="154"/>
      <c r="G102" s="154"/>
      <c r="H102" s="154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245">
        <f t="shared" si="20"/>
        <v>55.5</v>
      </c>
      <c r="U102" s="245">
        <f t="shared" si="21"/>
        <v>55.6</v>
      </c>
      <c r="V102" s="245">
        <f t="shared" si="22"/>
        <v>55.7</v>
      </c>
      <c r="W102" s="245">
        <f t="shared" si="23"/>
        <v>55.8</v>
      </c>
      <c r="X102" s="245">
        <f t="shared" si="24"/>
        <v>55.9</v>
      </c>
      <c r="Y102" s="394">
        <f t="shared" si="25"/>
        <v>98</v>
      </c>
      <c r="Z102" s="10"/>
      <c r="AA102" s="10"/>
    </row>
    <row r="103" spans="1:27" ht="12" customHeight="1">
      <c r="A103" s="154"/>
      <c r="B103" s="154"/>
      <c r="C103" s="154"/>
      <c r="D103" s="154"/>
      <c r="E103" s="154"/>
      <c r="F103" s="154"/>
      <c r="G103" s="154"/>
      <c r="H103" s="154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245">
        <f t="shared" si="20"/>
        <v>56</v>
      </c>
      <c r="U103" s="245">
        <f t="shared" si="21"/>
        <v>56.1</v>
      </c>
      <c r="V103" s="245">
        <f t="shared" si="22"/>
        <v>56.2</v>
      </c>
      <c r="W103" s="245">
        <f t="shared" si="23"/>
        <v>56.3</v>
      </c>
      <c r="X103" s="245">
        <f t="shared" si="24"/>
        <v>56.4</v>
      </c>
      <c r="Y103" s="394">
        <f t="shared" si="25"/>
        <v>96</v>
      </c>
      <c r="Z103" s="10"/>
      <c r="AA103" s="10"/>
    </row>
    <row r="104" spans="1:27" ht="12" customHeight="1">
      <c r="A104" s="154"/>
      <c r="B104" s="154"/>
      <c r="C104" s="154"/>
      <c r="D104" s="154"/>
      <c r="E104" s="154"/>
      <c r="F104" s="154"/>
      <c r="G104" s="154"/>
      <c r="H104" s="154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245">
        <f t="shared" si="20"/>
        <v>56.5</v>
      </c>
      <c r="U104" s="245">
        <f t="shared" si="21"/>
        <v>56.6</v>
      </c>
      <c r="V104" s="245">
        <f t="shared" si="22"/>
        <v>56.7</v>
      </c>
      <c r="W104" s="245">
        <f t="shared" si="23"/>
        <v>56.8</v>
      </c>
      <c r="X104" s="245">
        <f t="shared" si="24"/>
        <v>56.9</v>
      </c>
      <c r="Y104" s="394">
        <f t="shared" si="25"/>
        <v>94</v>
      </c>
      <c r="Z104" s="10"/>
      <c r="AA104" s="10"/>
    </row>
    <row r="105" spans="1:27" ht="12" customHeight="1">
      <c r="A105" s="154"/>
      <c r="B105" s="154"/>
      <c r="C105" s="154"/>
      <c r="D105" s="154"/>
      <c r="E105" s="154"/>
      <c r="F105" s="154"/>
      <c r="G105" s="154"/>
      <c r="H105" s="154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245">
        <f t="shared" si="20"/>
        <v>57</v>
      </c>
      <c r="U105" s="245">
        <f t="shared" si="21"/>
        <v>57.1</v>
      </c>
      <c r="V105" s="245">
        <f t="shared" si="22"/>
        <v>57.2</v>
      </c>
      <c r="W105" s="245">
        <f t="shared" si="23"/>
        <v>57.3</v>
      </c>
      <c r="X105" s="245">
        <f t="shared" si="24"/>
        <v>57.4</v>
      </c>
      <c r="Y105" s="394">
        <f t="shared" si="25"/>
        <v>92</v>
      </c>
      <c r="Z105" s="10"/>
      <c r="AA105" s="10"/>
    </row>
    <row r="106" spans="1:27" ht="12" customHeight="1">
      <c r="A106" s="154"/>
      <c r="B106" s="154"/>
      <c r="C106" s="154"/>
      <c r="D106" s="154"/>
      <c r="E106" s="154"/>
      <c r="F106" s="154"/>
      <c r="G106" s="154"/>
      <c r="H106" s="154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245">
        <f t="shared" si="20"/>
        <v>57.5</v>
      </c>
      <c r="U106" s="245">
        <f t="shared" si="21"/>
        <v>57.6</v>
      </c>
      <c r="V106" s="245">
        <f t="shared" si="22"/>
        <v>57.7</v>
      </c>
      <c r="W106" s="245">
        <f t="shared" si="23"/>
        <v>57.8</v>
      </c>
      <c r="X106" s="245">
        <f t="shared" si="24"/>
        <v>57.9</v>
      </c>
      <c r="Y106" s="394">
        <f t="shared" si="25"/>
        <v>90</v>
      </c>
      <c r="Z106" s="10"/>
      <c r="AA106" s="10"/>
    </row>
    <row r="107" spans="1:27" ht="12" customHeight="1">
      <c r="A107" s="154"/>
      <c r="B107" s="154"/>
      <c r="C107" s="154"/>
      <c r="D107" s="154"/>
      <c r="E107" s="154"/>
      <c r="F107" s="154"/>
      <c r="G107" s="154"/>
      <c r="H107" s="154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245">
        <f t="shared" si="20"/>
        <v>58</v>
      </c>
      <c r="U107" s="245">
        <f t="shared" si="21"/>
        <v>58.1</v>
      </c>
      <c r="V107" s="245">
        <f t="shared" si="22"/>
        <v>58.2</v>
      </c>
      <c r="W107" s="245">
        <f t="shared" si="23"/>
        <v>58.3</v>
      </c>
      <c r="X107" s="245">
        <f t="shared" si="24"/>
        <v>58.4</v>
      </c>
      <c r="Y107" s="394">
        <f t="shared" si="25"/>
        <v>88</v>
      </c>
      <c r="Z107" s="10"/>
      <c r="AA107" s="10"/>
    </row>
    <row r="108" spans="1:27" ht="12" customHeight="1">
      <c r="A108" s="154"/>
      <c r="B108" s="154"/>
      <c r="C108" s="154"/>
      <c r="D108" s="154"/>
      <c r="E108" s="154"/>
      <c r="F108" s="154"/>
      <c r="G108" s="154"/>
      <c r="H108" s="154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245">
        <f t="shared" si="20"/>
        <v>58.5</v>
      </c>
      <c r="U108" s="245">
        <f t="shared" si="21"/>
        <v>58.6</v>
      </c>
      <c r="V108" s="245">
        <f t="shared" si="22"/>
        <v>58.7</v>
      </c>
      <c r="W108" s="245">
        <f t="shared" si="23"/>
        <v>58.8</v>
      </c>
      <c r="X108" s="245">
        <f t="shared" si="24"/>
        <v>58.9</v>
      </c>
      <c r="Y108" s="394">
        <f t="shared" si="25"/>
        <v>86</v>
      </c>
      <c r="Z108" s="10"/>
      <c r="AA108" s="10"/>
    </row>
    <row r="109" spans="1:27" ht="12" customHeight="1">
      <c r="A109" s="154"/>
      <c r="B109" s="154"/>
      <c r="C109" s="154"/>
      <c r="D109" s="154"/>
      <c r="E109" s="154"/>
      <c r="F109" s="154"/>
      <c r="G109" s="154"/>
      <c r="H109" s="154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245">
        <f t="shared" si="20"/>
        <v>59</v>
      </c>
      <c r="U109" s="245">
        <f t="shared" si="21"/>
        <v>59.1</v>
      </c>
      <c r="V109" s="245">
        <f t="shared" si="22"/>
        <v>59.2</v>
      </c>
      <c r="W109" s="245">
        <f t="shared" si="23"/>
        <v>59.3</v>
      </c>
      <c r="X109" s="245">
        <f t="shared" si="24"/>
        <v>59.4</v>
      </c>
      <c r="Y109" s="394">
        <f t="shared" si="25"/>
        <v>84</v>
      </c>
      <c r="Z109" s="10"/>
      <c r="AA109" s="10"/>
    </row>
    <row r="110" spans="1:27" ht="12" customHeight="1">
      <c r="A110" s="154"/>
      <c r="B110" s="154"/>
      <c r="C110" s="154"/>
      <c r="D110" s="154"/>
      <c r="E110" s="154"/>
      <c r="F110" s="154"/>
      <c r="G110" s="154"/>
      <c r="H110" s="154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245">
        <f t="shared" si="20"/>
        <v>59.5</v>
      </c>
      <c r="U110" s="245">
        <f t="shared" si="21"/>
        <v>59.6</v>
      </c>
      <c r="V110" s="245">
        <f t="shared" si="22"/>
        <v>59.7</v>
      </c>
      <c r="W110" s="245">
        <f t="shared" si="23"/>
        <v>59.8</v>
      </c>
      <c r="X110" s="245">
        <f t="shared" si="24"/>
        <v>59.9</v>
      </c>
      <c r="Y110" s="394">
        <f t="shared" si="25"/>
        <v>82</v>
      </c>
      <c r="Z110" s="10"/>
      <c r="AA110" s="10"/>
    </row>
    <row r="111" spans="1:27" ht="12" customHeight="1">
      <c r="A111" s="154"/>
      <c r="B111" s="154"/>
      <c r="C111" s="154"/>
      <c r="D111" s="154"/>
      <c r="E111" s="154"/>
      <c r="F111" s="154"/>
      <c r="G111" s="154"/>
      <c r="H111" s="154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245">
        <f t="shared" si="20"/>
        <v>60</v>
      </c>
      <c r="U111" s="245">
        <f t="shared" si="21"/>
        <v>60.1</v>
      </c>
      <c r="V111" s="245">
        <f t="shared" si="22"/>
        <v>60.2</v>
      </c>
      <c r="W111" s="245">
        <f t="shared" si="23"/>
        <v>60.3</v>
      </c>
      <c r="X111" s="245">
        <f t="shared" si="24"/>
        <v>60.4</v>
      </c>
      <c r="Y111" s="394">
        <f t="shared" si="25"/>
        <v>80</v>
      </c>
      <c r="Z111" s="10"/>
      <c r="AA111" s="10"/>
    </row>
    <row r="112" spans="1:27" ht="12" customHeight="1">
      <c r="A112" s="154"/>
      <c r="B112" s="154"/>
      <c r="C112" s="154"/>
      <c r="D112" s="154"/>
      <c r="E112" s="154"/>
      <c r="F112" s="154"/>
      <c r="G112" s="154"/>
      <c r="H112" s="154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245">
        <f t="shared" si="20"/>
        <v>60.5</v>
      </c>
      <c r="U112" s="245">
        <f t="shared" si="21"/>
        <v>60.6</v>
      </c>
      <c r="V112" s="245">
        <f t="shared" si="22"/>
        <v>60.7</v>
      </c>
      <c r="W112" s="245">
        <f t="shared" si="23"/>
        <v>60.8</v>
      </c>
      <c r="X112" s="245">
        <f t="shared" si="24"/>
        <v>60.9</v>
      </c>
      <c r="Y112" s="394">
        <f t="shared" si="25"/>
        <v>78</v>
      </c>
      <c r="Z112" s="10"/>
      <c r="AA112" s="10"/>
    </row>
    <row r="113" spans="1:27" ht="12" customHeight="1">
      <c r="A113" s="154"/>
      <c r="B113" s="154"/>
      <c r="C113" s="154"/>
      <c r="D113" s="154"/>
      <c r="E113" s="154"/>
      <c r="F113" s="154"/>
      <c r="G113" s="154"/>
      <c r="H113" s="154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245">
        <f t="shared" si="20"/>
        <v>61</v>
      </c>
      <c r="U113" s="245">
        <f t="shared" si="21"/>
        <v>61.1</v>
      </c>
      <c r="V113" s="245">
        <f t="shared" si="22"/>
        <v>61.2</v>
      </c>
      <c r="W113" s="245">
        <f t="shared" si="23"/>
        <v>61.3</v>
      </c>
      <c r="X113" s="245">
        <f t="shared" si="24"/>
        <v>61.4</v>
      </c>
      <c r="Y113" s="394">
        <f t="shared" si="25"/>
        <v>76</v>
      </c>
      <c r="Z113" s="10"/>
      <c r="AA113" s="10"/>
    </row>
    <row r="114" spans="1:27" ht="12" customHeight="1">
      <c r="A114" s="154"/>
      <c r="B114" s="154"/>
      <c r="C114" s="154"/>
      <c r="D114" s="154"/>
      <c r="E114" s="154"/>
      <c r="F114" s="154"/>
      <c r="G114" s="154"/>
      <c r="H114" s="154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245">
        <f t="shared" si="20"/>
        <v>61.5</v>
      </c>
      <c r="U114" s="245">
        <f t="shared" si="21"/>
        <v>61.6</v>
      </c>
      <c r="V114" s="245">
        <f t="shared" si="22"/>
        <v>61.7</v>
      </c>
      <c r="W114" s="245">
        <f t="shared" si="23"/>
        <v>61.8</v>
      </c>
      <c r="X114" s="245">
        <f t="shared" si="24"/>
        <v>61.9</v>
      </c>
      <c r="Y114" s="394">
        <f t="shared" si="25"/>
        <v>74</v>
      </c>
      <c r="Z114" s="10"/>
      <c r="AA114" s="10"/>
    </row>
    <row r="115" spans="1:27" ht="12" customHeight="1">
      <c r="A115" s="154"/>
      <c r="B115" s="154"/>
      <c r="C115" s="154"/>
      <c r="D115" s="154"/>
      <c r="E115" s="154"/>
      <c r="F115" s="154"/>
      <c r="G115" s="154"/>
      <c r="H115" s="154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245">
        <f t="shared" si="20"/>
        <v>62</v>
      </c>
      <c r="U115" s="245">
        <f t="shared" si="21"/>
        <v>62.1</v>
      </c>
      <c r="V115" s="245">
        <f t="shared" si="22"/>
        <v>62.2</v>
      </c>
      <c r="W115" s="245">
        <f t="shared" si="23"/>
        <v>62.3</v>
      </c>
      <c r="X115" s="245">
        <f t="shared" si="24"/>
        <v>62.4</v>
      </c>
      <c r="Y115" s="394">
        <f t="shared" si="25"/>
        <v>72</v>
      </c>
      <c r="Z115" s="10"/>
      <c r="AA115" s="10"/>
    </row>
    <row r="116" spans="1:27" ht="12" customHeight="1">
      <c r="A116" s="154"/>
      <c r="B116" s="154"/>
      <c r="C116" s="154"/>
      <c r="D116" s="154"/>
      <c r="E116" s="154"/>
      <c r="F116" s="154"/>
      <c r="G116" s="154"/>
      <c r="H116" s="154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245">
        <f t="shared" si="20"/>
        <v>62.5</v>
      </c>
      <c r="U116" s="245">
        <f t="shared" si="21"/>
        <v>62.6</v>
      </c>
      <c r="V116" s="245">
        <f t="shared" si="22"/>
        <v>62.7</v>
      </c>
      <c r="W116" s="245">
        <f t="shared" si="23"/>
        <v>62.8</v>
      </c>
      <c r="X116" s="245">
        <f t="shared" si="24"/>
        <v>62.9</v>
      </c>
      <c r="Y116" s="394">
        <f t="shared" si="25"/>
        <v>70</v>
      </c>
      <c r="Z116" s="10"/>
      <c r="AA116" s="10"/>
    </row>
    <row r="117" spans="1:27" ht="12" customHeight="1">
      <c r="A117" s="154"/>
      <c r="B117" s="154"/>
      <c r="C117" s="154"/>
      <c r="D117" s="154"/>
      <c r="E117" s="154"/>
      <c r="F117" s="154"/>
      <c r="G117" s="154"/>
      <c r="H117" s="154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245">
        <f t="shared" si="20"/>
        <v>63</v>
      </c>
      <c r="U117" s="245">
        <f t="shared" si="21"/>
        <v>63.1</v>
      </c>
      <c r="V117" s="245">
        <f t="shared" si="22"/>
        <v>63.2</v>
      </c>
      <c r="W117" s="245">
        <f t="shared" si="23"/>
        <v>63.3</v>
      </c>
      <c r="X117" s="245">
        <f t="shared" si="24"/>
        <v>63.4</v>
      </c>
      <c r="Y117" s="394">
        <f t="shared" si="25"/>
        <v>68</v>
      </c>
      <c r="Z117" s="10"/>
      <c r="AA117" s="10"/>
    </row>
    <row r="118" spans="1:27" ht="12" customHeight="1">
      <c r="A118" s="154"/>
      <c r="B118" s="154"/>
      <c r="C118" s="154"/>
      <c r="D118" s="154"/>
      <c r="E118" s="154"/>
      <c r="F118" s="154"/>
      <c r="G118" s="154"/>
      <c r="H118" s="154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245">
        <f t="shared" si="20"/>
        <v>63.5</v>
      </c>
      <c r="U118" s="245">
        <f t="shared" si="21"/>
        <v>63.6</v>
      </c>
      <c r="V118" s="245">
        <f t="shared" si="22"/>
        <v>63.7</v>
      </c>
      <c r="W118" s="245">
        <f t="shared" si="23"/>
        <v>63.8</v>
      </c>
      <c r="X118" s="245">
        <f t="shared" si="24"/>
        <v>63.9</v>
      </c>
      <c r="Y118" s="394">
        <f t="shared" si="25"/>
        <v>66</v>
      </c>
      <c r="Z118" s="10"/>
      <c r="AA118" s="10"/>
    </row>
    <row r="119" spans="1:27" ht="12" customHeight="1">
      <c r="A119" s="154"/>
      <c r="B119" s="154"/>
      <c r="C119" s="154"/>
      <c r="D119" s="154"/>
      <c r="E119" s="154"/>
      <c r="F119" s="154"/>
      <c r="G119" s="154"/>
      <c r="H119" s="154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245">
        <f t="shared" si="20"/>
        <v>64</v>
      </c>
      <c r="U119" s="245">
        <f t="shared" si="21"/>
        <v>64.1</v>
      </c>
      <c r="V119" s="245">
        <f t="shared" si="22"/>
        <v>64.2</v>
      </c>
      <c r="W119" s="245">
        <f t="shared" si="23"/>
        <v>64.3</v>
      </c>
      <c r="X119" s="245">
        <f t="shared" si="24"/>
        <v>64.4</v>
      </c>
      <c r="Y119" s="394">
        <f t="shared" si="25"/>
        <v>64</v>
      </c>
      <c r="Z119" s="10"/>
      <c r="AA119" s="10"/>
    </row>
    <row r="120" spans="1:27" ht="12" customHeight="1">
      <c r="A120" s="154"/>
      <c r="B120" s="154"/>
      <c r="C120" s="154"/>
      <c r="D120" s="154"/>
      <c r="E120" s="154"/>
      <c r="F120" s="154"/>
      <c r="G120" s="154"/>
      <c r="H120" s="154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245">
        <f t="shared" si="20"/>
        <v>64.5</v>
      </c>
      <c r="U120" s="245">
        <f t="shared" si="21"/>
        <v>64.6</v>
      </c>
      <c r="V120" s="245">
        <f t="shared" si="22"/>
        <v>64.7</v>
      </c>
      <c r="W120" s="245">
        <f t="shared" si="23"/>
        <v>64.8</v>
      </c>
      <c r="X120" s="245">
        <f t="shared" si="24"/>
        <v>64.9</v>
      </c>
      <c r="Y120" s="394">
        <f t="shared" si="25"/>
        <v>62</v>
      </c>
      <c r="Z120" s="10"/>
      <c r="AA120" s="10"/>
    </row>
    <row r="121" spans="1:27" ht="12" customHeight="1">
      <c r="A121" s="154"/>
      <c r="B121" s="154"/>
      <c r="C121" s="154"/>
      <c r="D121" s="154"/>
      <c r="E121" s="154"/>
      <c r="F121" s="154"/>
      <c r="G121" s="154"/>
      <c r="H121" s="154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245">
        <f t="shared" si="20"/>
        <v>65</v>
      </c>
      <c r="U121" s="245">
        <f t="shared" si="21"/>
        <v>65.1</v>
      </c>
      <c r="V121" s="245">
        <f t="shared" si="22"/>
        <v>65.2</v>
      </c>
      <c r="W121" s="245">
        <f t="shared" si="23"/>
        <v>65.3</v>
      </c>
      <c r="X121" s="245">
        <f t="shared" si="24"/>
        <v>65.4</v>
      </c>
      <c r="Y121" s="394">
        <f t="shared" si="25"/>
        <v>60</v>
      </c>
      <c r="Z121" s="10"/>
      <c r="AA121" s="10"/>
    </row>
    <row r="122" spans="1:27" ht="12" customHeight="1">
      <c r="A122" s="154"/>
      <c r="B122" s="154"/>
      <c r="C122" s="154"/>
      <c r="D122" s="154"/>
      <c r="E122" s="154"/>
      <c r="F122" s="154"/>
      <c r="G122" s="154"/>
      <c r="H122" s="154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245">
        <f t="shared" si="20"/>
        <v>65.5</v>
      </c>
      <c r="U122" s="245">
        <f t="shared" si="21"/>
        <v>65.6</v>
      </c>
      <c r="V122" s="245">
        <f t="shared" si="22"/>
        <v>65.7</v>
      </c>
      <c r="W122" s="245">
        <f t="shared" si="23"/>
        <v>65.8</v>
      </c>
      <c r="X122" s="245">
        <f t="shared" si="24"/>
        <v>65.9</v>
      </c>
      <c r="Y122" s="394">
        <f t="shared" si="25"/>
        <v>58</v>
      </c>
      <c r="Z122" s="10"/>
      <c r="AA122" s="10"/>
    </row>
    <row r="123" spans="1:27" ht="12" customHeight="1">
      <c r="A123" s="154"/>
      <c r="B123" s="154"/>
      <c r="C123" s="154"/>
      <c r="D123" s="154"/>
      <c r="E123" s="154"/>
      <c r="F123" s="154"/>
      <c r="G123" s="154"/>
      <c r="H123" s="154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245">
        <f t="shared" si="20"/>
        <v>66</v>
      </c>
      <c r="U123" s="245">
        <f t="shared" si="21"/>
        <v>66.1</v>
      </c>
      <c r="V123" s="245">
        <f t="shared" si="22"/>
        <v>66.2</v>
      </c>
      <c r="W123" s="245">
        <f t="shared" si="23"/>
        <v>66.3</v>
      </c>
      <c r="X123" s="245">
        <f t="shared" si="24"/>
        <v>66.4</v>
      </c>
      <c r="Y123" s="394">
        <f t="shared" si="25"/>
        <v>56</v>
      </c>
      <c r="Z123" s="10"/>
      <c r="AA123" s="10"/>
    </row>
    <row r="124" spans="1:27" ht="12" customHeight="1">
      <c r="A124" s="154"/>
      <c r="B124" s="154"/>
      <c r="C124" s="154"/>
      <c r="D124" s="154"/>
      <c r="E124" s="154"/>
      <c r="F124" s="154"/>
      <c r="G124" s="154"/>
      <c r="H124" s="154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245">
        <f aca="true" t="shared" si="26" ref="T124:T151">T123+0.5</f>
        <v>66.5</v>
      </c>
      <c r="U124" s="245">
        <f aca="true" t="shared" si="27" ref="U124:U151">U123+0.5</f>
        <v>66.6</v>
      </c>
      <c r="V124" s="245">
        <f aca="true" t="shared" si="28" ref="V124:V151">V123+0.5</f>
        <v>66.7</v>
      </c>
      <c r="W124" s="245">
        <f aca="true" t="shared" si="29" ref="W124:W151">W123+0.5</f>
        <v>66.8</v>
      </c>
      <c r="X124" s="245">
        <f aca="true" t="shared" si="30" ref="X124:X151">X123+0.5</f>
        <v>66.9</v>
      </c>
      <c r="Y124" s="394">
        <f aca="true" t="shared" si="31" ref="Y124:Y151">Y123-2</f>
        <v>54</v>
      </c>
      <c r="Z124" s="10"/>
      <c r="AA124" s="10"/>
    </row>
    <row r="125" spans="1:27" ht="12" customHeight="1">
      <c r="A125" s="154"/>
      <c r="B125" s="154"/>
      <c r="C125" s="154"/>
      <c r="D125" s="154"/>
      <c r="E125" s="154"/>
      <c r="F125" s="154"/>
      <c r="G125" s="154"/>
      <c r="H125" s="154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245">
        <f t="shared" si="26"/>
        <v>67</v>
      </c>
      <c r="U125" s="245">
        <f t="shared" si="27"/>
        <v>67.1</v>
      </c>
      <c r="V125" s="245">
        <f t="shared" si="28"/>
        <v>67.2</v>
      </c>
      <c r="W125" s="245">
        <f t="shared" si="29"/>
        <v>67.3</v>
      </c>
      <c r="X125" s="245">
        <f t="shared" si="30"/>
        <v>67.4</v>
      </c>
      <c r="Y125" s="394">
        <f t="shared" si="31"/>
        <v>52</v>
      </c>
      <c r="Z125" s="10"/>
      <c r="AA125" s="10"/>
    </row>
    <row r="126" spans="1:27" ht="12" customHeight="1">
      <c r="A126" s="154"/>
      <c r="B126" s="154"/>
      <c r="C126" s="154"/>
      <c r="D126" s="154"/>
      <c r="E126" s="154"/>
      <c r="F126" s="154"/>
      <c r="G126" s="154"/>
      <c r="H126" s="154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245">
        <f t="shared" si="26"/>
        <v>67.5</v>
      </c>
      <c r="U126" s="245">
        <f t="shared" si="27"/>
        <v>67.6</v>
      </c>
      <c r="V126" s="245">
        <f t="shared" si="28"/>
        <v>67.7</v>
      </c>
      <c r="W126" s="245">
        <f t="shared" si="29"/>
        <v>67.8</v>
      </c>
      <c r="X126" s="245">
        <f t="shared" si="30"/>
        <v>67.9</v>
      </c>
      <c r="Y126" s="394">
        <f t="shared" si="31"/>
        <v>50</v>
      </c>
      <c r="Z126" s="10"/>
      <c r="AA126" s="10"/>
    </row>
    <row r="127" spans="1:27" ht="12" customHeight="1">
      <c r="A127" s="154"/>
      <c r="B127" s="154"/>
      <c r="C127" s="154"/>
      <c r="D127" s="154"/>
      <c r="E127" s="154"/>
      <c r="F127" s="154"/>
      <c r="G127" s="154"/>
      <c r="H127" s="154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245">
        <f t="shared" si="26"/>
        <v>68</v>
      </c>
      <c r="U127" s="245">
        <f t="shared" si="27"/>
        <v>68.1</v>
      </c>
      <c r="V127" s="245">
        <f t="shared" si="28"/>
        <v>68.2</v>
      </c>
      <c r="W127" s="245">
        <f t="shared" si="29"/>
        <v>68.3</v>
      </c>
      <c r="X127" s="245">
        <f t="shared" si="30"/>
        <v>68.4</v>
      </c>
      <c r="Y127" s="394">
        <f t="shared" si="31"/>
        <v>48</v>
      </c>
      <c r="Z127" s="10"/>
      <c r="AA127" s="10"/>
    </row>
    <row r="128" spans="1:27" ht="12" customHeight="1">
      <c r="A128" s="154"/>
      <c r="B128" s="154"/>
      <c r="C128" s="154"/>
      <c r="D128" s="154"/>
      <c r="E128" s="154"/>
      <c r="F128" s="154"/>
      <c r="G128" s="154"/>
      <c r="H128" s="154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245">
        <f t="shared" si="26"/>
        <v>68.5</v>
      </c>
      <c r="U128" s="245">
        <f t="shared" si="27"/>
        <v>68.6</v>
      </c>
      <c r="V128" s="245">
        <f t="shared" si="28"/>
        <v>68.7</v>
      </c>
      <c r="W128" s="245">
        <f t="shared" si="29"/>
        <v>68.8</v>
      </c>
      <c r="X128" s="245">
        <f t="shared" si="30"/>
        <v>68.9</v>
      </c>
      <c r="Y128" s="394">
        <f t="shared" si="31"/>
        <v>46</v>
      </c>
      <c r="Z128" s="10"/>
      <c r="AA128" s="10"/>
    </row>
    <row r="129" spans="1:27" ht="12" customHeight="1">
      <c r="A129" s="154"/>
      <c r="B129" s="154"/>
      <c r="C129" s="154"/>
      <c r="D129" s="154"/>
      <c r="E129" s="154"/>
      <c r="F129" s="154"/>
      <c r="G129" s="154"/>
      <c r="H129" s="154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245">
        <f t="shared" si="26"/>
        <v>69</v>
      </c>
      <c r="U129" s="245">
        <f t="shared" si="27"/>
        <v>69.1</v>
      </c>
      <c r="V129" s="245">
        <f t="shared" si="28"/>
        <v>69.2</v>
      </c>
      <c r="W129" s="245">
        <f t="shared" si="29"/>
        <v>69.3</v>
      </c>
      <c r="X129" s="245">
        <f t="shared" si="30"/>
        <v>69.4</v>
      </c>
      <c r="Y129" s="394">
        <f t="shared" si="31"/>
        <v>44</v>
      </c>
      <c r="Z129" s="10"/>
      <c r="AA129" s="10"/>
    </row>
    <row r="130" spans="1:27" ht="12" customHeight="1">
      <c r="A130" s="154"/>
      <c r="B130" s="154"/>
      <c r="C130" s="154"/>
      <c r="D130" s="154"/>
      <c r="E130" s="154"/>
      <c r="F130" s="154"/>
      <c r="G130" s="154"/>
      <c r="H130" s="154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245">
        <f t="shared" si="26"/>
        <v>69.5</v>
      </c>
      <c r="U130" s="245">
        <f t="shared" si="27"/>
        <v>69.6</v>
      </c>
      <c r="V130" s="245">
        <f t="shared" si="28"/>
        <v>69.7</v>
      </c>
      <c r="W130" s="245">
        <f t="shared" si="29"/>
        <v>69.8</v>
      </c>
      <c r="X130" s="245">
        <f t="shared" si="30"/>
        <v>69.9</v>
      </c>
      <c r="Y130" s="394">
        <f t="shared" si="31"/>
        <v>42</v>
      </c>
      <c r="Z130" s="10"/>
      <c r="AA130" s="10"/>
    </row>
    <row r="131" spans="1:27" ht="12" customHeight="1">
      <c r="A131" s="154"/>
      <c r="B131" s="154"/>
      <c r="C131" s="154"/>
      <c r="D131" s="154"/>
      <c r="E131" s="154"/>
      <c r="F131" s="154"/>
      <c r="G131" s="154"/>
      <c r="H131" s="154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245">
        <f t="shared" si="26"/>
        <v>70</v>
      </c>
      <c r="U131" s="245">
        <f t="shared" si="27"/>
        <v>70.1</v>
      </c>
      <c r="V131" s="245">
        <f t="shared" si="28"/>
        <v>70.2</v>
      </c>
      <c r="W131" s="245">
        <f t="shared" si="29"/>
        <v>70.3</v>
      </c>
      <c r="X131" s="245">
        <f t="shared" si="30"/>
        <v>70.4</v>
      </c>
      <c r="Y131" s="394">
        <f t="shared" si="31"/>
        <v>40</v>
      </c>
      <c r="Z131" s="10"/>
      <c r="AA131" s="10"/>
    </row>
    <row r="132" spans="1:27" ht="12" customHeight="1">
      <c r="A132" s="154"/>
      <c r="B132" s="154"/>
      <c r="C132" s="154"/>
      <c r="D132" s="154"/>
      <c r="E132" s="154"/>
      <c r="F132" s="154"/>
      <c r="G132" s="154"/>
      <c r="H132" s="154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245">
        <f t="shared" si="26"/>
        <v>70.5</v>
      </c>
      <c r="U132" s="245">
        <f t="shared" si="27"/>
        <v>70.6</v>
      </c>
      <c r="V132" s="245">
        <f t="shared" si="28"/>
        <v>70.7</v>
      </c>
      <c r="W132" s="245">
        <f t="shared" si="29"/>
        <v>70.8</v>
      </c>
      <c r="X132" s="245">
        <f t="shared" si="30"/>
        <v>70.9</v>
      </c>
      <c r="Y132" s="394">
        <f t="shared" si="31"/>
        <v>38</v>
      </c>
      <c r="Z132" s="10"/>
      <c r="AA132" s="10"/>
    </row>
    <row r="133" spans="1:27" ht="12" customHeight="1">
      <c r="A133" s="154"/>
      <c r="B133" s="154"/>
      <c r="C133" s="154"/>
      <c r="D133" s="154"/>
      <c r="E133" s="154"/>
      <c r="F133" s="154"/>
      <c r="G133" s="154"/>
      <c r="H133" s="154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245">
        <f t="shared" si="26"/>
        <v>71</v>
      </c>
      <c r="U133" s="245">
        <f t="shared" si="27"/>
        <v>71.1</v>
      </c>
      <c r="V133" s="245">
        <f t="shared" si="28"/>
        <v>71.2</v>
      </c>
      <c r="W133" s="245">
        <f t="shared" si="29"/>
        <v>71.3</v>
      </c>
      <c r="X133" s="245">
        <f t="shared" si="30"/>
        <v>71.4</v>
      </c>
      <c r="Y133" s="394">
        <f t="shared" si="31"/>
        <v>36</v>
      </c>
      <c r="Z133" s="10"/>
      <c r="AA133" s="10"/>
    </row>
    <row r="134" spans="1:27" ht="12" customHeight="1">
      <c r="A134" s="154"/>
      <c r="B134" s="154"/>
      <c r="C134" s="154"/>
      <c r="D134" s="154"/>
      <c r="E134" s="154"/>
      <c r="F134" s="154"/>
      <c r="G134" s="154"/>
      <c r="H134" s="154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245">
        <f t="shared" si="26"/>
        <v>71.5</v>
      </c>
      <c r="U134" s="245">
        <f t="shared" si="27"/>
        <v>71.6</v>
      </c>
      <c r="V134" s="245">
        <f t="shared" si="28"/>
        <v>71.7</v>
      </c>
      <c r="W134" s="245">
        <f t="shared" si="29"/>
        <v>71.8</v>
      </c>
      <c r="X134" s="245">
        <f t="shared" si="30"/>
        <v>71.9</v>
      </c>
      <c r="Y134" s="394">
        <f t="shared" si="31"/>
        <v>34</v>
      </c>
      <c r="Z134" s="10"/>
      <c r="AA134" s="10"/>
    </row>
    <row r="135" spans="1:27" ht="12" customHeight="1">
      <c r="A135" s="154"/>
      <c r="B135" s="154"/>
      <c r="C135" s="154"/>
      <c r="D135" s="154"/>
      <c r="E135" s="154"/>
      <c r="F135" s="154"/>
      <c r="G135" s="154"/>
      <c r="H135" s="154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245">
        <f t="shared" si="26"/>
        <v>72</v>
      </c>
      <c r="U135" s="245">
        <f t="shared" si="27"/>
        <v>72.1</v>
      </c>
      <c r="V135" s="245">
        <f t="shared" si="28"/>
        <v>72.2</v>
      </c>
      <c r="W135" s="245">
        <f t="shared" si="29"/>
        <v>72.3</v>
      </c>
      <c r="X135" s="245">
        <f t="shared" si="30"/>
        <v>72.4</v>
      </c>
      <c r="Y135" s="394">
        <f t="shared" si="31"/>
        <v>32</v>
      </c>
      <c r="Z135" s="10"/>
      <c r="AA135" s="10"/>
    </row>
    <row r="136" spans="1:27" ht="12" customHeight="1">
      <c r="A136" s="154"/>
      <c r="B136" s="154"/>
      <c r="C136" s="154"/>
      <c r="D136" s="154"/>
      <c r="E136" s="154"/>
      <c r="F136" s="154"/>
      <c r="G136" s="154"/>
      <c r="H136" s="154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245">
        <f t="shared" si="26"/>
        <v>72.5</v>
      </c>
      <c r="U136" s="245">
        <f t="shared" si="27"/>
        <v>72.6</v>
      </c>
      <c r="V136" s="245">
        <f t="shared" si="28"/>
        <v>72.7</v>
      </c>
      <c r="W136" s="245">
        <f t="shared" si="29"/>
        <v>72.8</v>
      </c>
      <c r="X136" s="245">
        <f t="shared" si="30"/>
        <v>72.9</v>
      </c>
      <c r="Y136" s="394">
        <f t="shared" si="31"/>
        <v>30</v>
      </c>
      <c r="Z136" s="10"/>
      <c r="AA136" s="10"/>
    </row>
    <row r="137" spans="1:27" ht="12" customHeight="1">
      <c r="A137" s="154"/>
      <c r="B137" s="154"/>
      <c r="C137" s="154"/>
      <c r="D137" s="154"/>
      <c r="E137" s="154"/>
      <c r="F137" s="154"/>
      <c r="G137" s="154"/>
      <c r="H137" s="154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245">
        <f t="shared" si="26"/>
        <v>73</v>
      </c>
      <c r="U137" s="245">
        <f t="shared" si="27"/>
        <v>73.1</v>
      </c>
      <c r="V137" s="245">
        <f t="shared" si="28"/>
        <v>73.2</v>
      </c>
      <c r="W137" s="245">
        <f t="shared" si="29"/>
        <v>73.3</v>
      </c>
      <c r="X137" s="245">
        <f t="shared" si="30"/>
        <v>73.4</v>
      </c>
      <c r="Y137" s="394">
        <f t="shared" si="31"/>
        <v>28</v>
      </c>
      <c r="Z137" s="10"/>
      <c r="AA137" s="10"/>
    </row>
    <row r="138" spans="1:27" ht="12" customHeight="1">
      <c r="A138" s="154"/>
      <c r="B138" s="154"/>
      <c r="C138" s="154"/>
      <c r="D138" s="154"/>
      <c r="E138" s="154"/>
      <c r="F138" s="154"/>
      <c r="G138" s="154"/>
      <c r="H138" s="154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245">
        <f t="shared" si="26"/>
        <v>73.5</v>
      </c>
      <c r="U138" s="245">
        <f t="shared" si="27"/>
        <v>73.6</v>
      </c>
      <c r="V138" s="245">
        <f t="shared" si="28"/>
        <v>73.7</v>
      </c>
      <c r="W138" s="245">
        <f t="shared" si="29"/>
        <v>73.8</v>
      </c>
      <c r="X138" s="245">
        <f t="shared" si="30"/>
        <v>73.9</v>
      </c>
      <c r="Y138" s="394">
        <f t="shared" si="31"/>
        <v>26</v>
      </c>
      <c r="Z138" s="10"/>
      <c r="AA138" s="10"/>
    </row>
    <row r="139" spans="1:27" ht="12" customHeight="1">
      <c r="A139" s="154"/>
      <c r="B139" s="154"/>
      <c r="C139" s="154"/>
      <c r="D139" s="154"/>
      <c r="E139" s="154"/>
      <c r="F139" s="154"/>
      <c r="G139" s="154"/>
      <c r="H139" s="154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245">
        <f t="shared" si="26"/>
        <v>74</v>
      </c>
      <c r="U139" s="245">
        <f t="shared" si="27"/>
        <v>74.1</v>
      </c>
      <c r="V139" s="245">
        <f t="shared" si="28"/>
        <v>74.2</v>
      </c>
      <c r="W139" s="245">
        <f t="shared" si="29"/>
        <v>74.3</v>
      </c>
      <c r="X139" s="245">
        <f t="shared" si="30"/>
        <v>74.4</v>
      </c>
      <c r="Y139" s="394">
        <f t="shared" si="31"/>
        <v>24</v>
      </c>
      <c r="Z139" s="10"/>
      <c r="AA139" s="10"/>
    </row>
    <row r="140" spans="1:27" ht="12" customHeight="1">
      <c r="A140" s="154"/>
      <c r="B140" s="154"/>
      <c r="C140" s="154"/>
      <c r="D140" s="154"/>
      <c r="E140" s="154"/>
      <c r="F140" s="154"/>
      <c r="G140" s="154"/>
      <c r="H140" s="154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245">
        <f t="shared" si="26"/>
        <v>74.5</v>
      </c>
      <c r="U140" s="245">
        <f t="shared" si="27"/>
        <v>74.6</v>
      </c>
      <c r="V140" s="245">
        <f t="shared" si="28"/>
        <v>74.7</v>
      </c>
      <c r="W140" s="245">
        <f t="shared" si="29"/>
        <v>74.8</v>
      </c>
      <c r="X140" s="245">
        <f t="shared" si="30"/>
        <v>74.9</v>
      </c>
      <c r="Y140" s="394">
        <f t="shared" si="31"/>
        <v>22</v>
      </c>
      <c r="Z140" s="10"/>
      <c r="AA140" s="10"/>
    </row>
    <row r="141" spans="1:27" ht="12" customHeight="1">
      <c r="A141" s="154"/>
      <c r="B141" s="154"/>
      <c r="C141" s="154"/>
      <c r="D141" s="154"/>
      <c r="E141" s="154"/>
      <c r="F141" s="154"/>
      <c r="G141" s="154"/>
      <c r="H141" s="154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245">
        <f t="shared" si="26"/>
        <v>75</v>
      </c>
      <c r="U141" s="245">
        <f t="shared" si="27"/>
        <v>75.1</v>
      </c>
      <c r="V141" s="245">
        <f t="shared" si="28"/>
        <v>75.2</v>
      </c>
      <c r="W141" s="245">
        <f t="shared" si="29"/>
        <v>75.3</v>
      </c>
      <c r="X141" s="245">
        <f t="shared" si="30"/>
        <v>75.4</v>
      </c>
      <c r="Y141" s="394">
        <f t="shared" si="31"/>
        <v>20</v>
      </c>
      <c r="Z141" s="10"/>
      <c r="AA141" s="10"/>
    </row>
    <row r="142" spans="1:27" ht="12" customHeight="1">
      <c r="A142" s="154"/>
      <c r="B142" s="154"/>
      <c r="C142" s="154"/>
      <c r="D142" s="154"/>
      <c r="E142" s="154"/>
      <c r="F142" s="154"/>
      <c r="G142" s="154"/>
      <c r="H142" s="154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245">
        <f t="shared" si="26"/>
        <v>75.5</v>
      </c>
      <c r="U142" s="245">
        <f t="shared" si="27"/>
        <v>75.6</v>
      </c>
      <c r="V142" s="245">
        <f t="shared" si="28"/>
        <v>75.7</v>
      </c>
      <c r="W142" s="245">
        <f t="shared" si="29"/>
        <v>75.8</v>
      </c>
      <c r="X142" s="245">
        <f t="shared" si="30"/>
        <v>75.9</v>
      </c>
      <c r="Y142" s="394">
        <f t="shared" si="31"/>
        <v>18</v>
      </c>
      <c r="Z142" s="10"/>
      <c r="AA142" s="10"/>
    </row>
    <row r="143" spans="1:27" ht="12" customHeight="1">
      <c r="A143" s="154"/>
      <c r="B143" s="154"/>
      <c r="C143" s="154"/>
      <c r="D143" s="154"/>
      <c r="E143" s="154"/>
      <c r="F143" s="154"/>
      <c r="G143" s="154"/>
      <c r="H143" s="154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245">
        <f t="shared" si="26"/>
        <v>76</v>
      </c>
      <c r="U143" s="245">
        <f t="shared" si="27"/>
        <v>76.1</v>
      </c>
      <c r="V143" s="245">
        <f t="shared" si="28"/>
        <v>76.2</v>
      </c>
      <c r="W143" s="245">
        <f t="shared" si="29"/>
        <v>76.3</v>
      </c>
      <c r="X143" s="245">
        <f t="shared" si="30"/>
        <v>76.4</v>
      </c>
      <c r="Y143" s="394">
        <f t="shared" si="31"/>
        <v>16</v>
      </c>
      <c r="Z143" s="10"/>
      <c r="AA143" s="10"/>
    </row>
    <row r="144" spans="1:27" ht="12" customHeight="1">
      <c r="A144" s="154"/>
      <c r="B144" s="154"/>
      <c r="C144" s="154"/>
      <c r="D144" s="154"/>
      <c r="E144" s="154"/>
      <c r="F144" s="154"/>
      <c r="G144" s="154"/>
      <c r="H144" s="154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245">
        <f t="shared" si="26"/>
        <v>76.5</v>
      </c>
      <c r="U144" s="245">
        <f t="shared" si="27"/>
        <v>76.6</v>
      </c>
      <c r="V144" s="245">
        <f t="shared" si="28"/>
        <v>76.7</v>
      </c>
      <c r="W144" s="245">
        <f t="shared" si="29"/>
        <v>76.8</v>
      </c>
      <c r="X144" s="245">
        <f t="shared" si="30"/>
        <v>76.9</v>
      </c>
      <c r="Y144" s="394">
        <f t="shared" si="31"/>
        <v>14</v>
      </c>
      <c r="Z144" s="10"/>
      <c r="AA144" s="10"/>
    </row>
    <row r="145" spans="1:27" ht="12" customHeight="1">
      <c r="A145" s="154"/>
      <c r="B145" s="154"/>
      <c r="C145" s="154"/>
      <c r="D145" s="154"/>
      <c r="E145" s="154"/>
      <c r="F145" s="154"/>
      <c r="G145" s="154"/>
      <c r="H145" s="154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245">
        <f t="shared" si="26"/>
        <v>77</v>
      </c>
      <c r="U145" s="245">
        <f t="shared" si="27"/>
        <v>77.1</v>
      </c>
      <c r="V145" s="245">
        <f t="shared" si="28"/>
        <v>77.2</v>
      </c>
      <c r="W145" s="245">
        <f t="shared" si="29"/>
        <v>77.3</v>
      </c>
      <c r="X145" s="245">
        <f t="shared" si="30"/>
        <v>77.4</v>
      </c>
      <c r="Y145" s="394">
        <f t="shared" si="31"/>
        <v>12</v>
      </c>
      <c r="Z145" s="10"/>
      <c r="AA145" s="10"/>
    </row>
    <row r="146" spans="1:27" ht="12" customHeight="1">
      <c r="A146" s="154"/>
      <c r="B146" s="154"/>
      <c r="C146" s="154"/>
      <c r="D146" s="154"/>
      <c r="E146" s="154"/>
      <c r="F146" s="154"/>
      <c r="G146" s="154"/>
      <c r="H146" s="154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245">
        <f t="shared" si="26"/>
        <v>77.5</v>
      </c>
      <c r="U146" s="245">
        <f t="shared" si="27"/>
        <v>77.6</v>
      </c>
      <c r="V146" s="245">
        <f t="shared" si="28"/>
        <v>77.7</v>
      </c>
      <c r="W146" s="245">
        <f t="shared" si="29"/>
        <v>77.8</v>
      </c>
      <c r="X146" s="245">
        <f t="shared" si="30"/>
        <v>77.9</v>
      </c>
      <c r="Y146" s="394">
        <f t="shared" si="31"/>
        <v>10</v>
      </c>
      <c r="Z146" s="10"/>
      <c r="AA146" s="10"/>
    </row>
    <row r="147" spans="1:27" ht="12" customHeight="1">
      <c r="A147" s="154"/>
      <c r="B147" s="154"/>
      <c r="C147" s="154"/>
      <c r="D147" s="154"/>
      <c r="E147" s="154"/>
      <c r="F147" s="154"/>
      <c r="G147" s="154"/>
      <c r="H147" s="154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245">
        <f t="shared" si="26"/>
        <v>78</v>
      </c>
      <c r="U147" s="245">
        <f t="shared" si="27"/>
        <v>78.1</v>
      </c>
      <c r="V147" s="245">
        <f t="shared" si="28"/>
        <v>78.2</v>
      </c>
      <c r="W147" s="245">
        <f t="shared" si="29"/>
        <v>78.3</v>
      </c>
      <c r="X147" s="245">
        <f t="shared" si="30"/>
        <v>78.4</v>
      </c>
      <c r="Y147" s="394">
        <f t="shared" si="31"/>
        <v>8</v>
      </c>
      <c r="Z147" s="10"/>
      <c r="AA147" s="10"/>
    </row>
    <row r="148" spans="1:27" ht="12" customHeight="1">
      <c r="A148" s="154"/>
      <c r="B148" s="154"/>
      <c r="C148" s="154"/>
      <c r="D148" s="154"/>
      <c r="E148" s="154"/>
      <c r="F148" s="154"/>
      <c r="G148" s="154"/>
      <c r="H148" s="154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245">
        <f t="shared" si="26"/>
        <v>78.5</v>
      </c>
      <c r="U148" s="245">
        <f t="shared" si="27"/>
        <v>78.6</v>
      </c>
      <c r="V148" s="245">
        <f t="shared" si="28"/>
        <v>78.7</v>
      </c>
      <c r="W148" s="245">
        <f t="shared" si="29"/>
        <v>78.8</v>
      </c>
      <c r="X148" s="245">
        <f t="shared" si="30"/>
        <v>78.9</v>
      </c>
      <c r="Y148" s="394">
        <f t="shared" si="31"/>
        <v>6</v>
      </c>
      <c r="Z148" s="10"/>
      <c r="AA148" s="10"/>
    </row>
    <row r="149" spans="1:27" ht="12" customHeight="1">
      <c r="A149" s="154"/>
      <c r="B149" s="154"/>
      <c r="C149" s="154"/>
      <c r="D149" s="154"/>
      <c r="E149" s="154"/>
      <c r="F149" s="154"/>
      <c r="G149" s="154"/>
      <c r="H149" s="154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245">
        <f t="shared" si="26"/>
        <v>79</v>
      </c>
      <c r="U149" s="245">
        <f t="shared" si="27"/>
        <v>79.1</v>
      </c>
      <c r="V149" s="245">
        <f t="shared" si="28"/>
        <v>79.2</v>
      </c>
      <c r="W149" s="245">
        <f t="shared" si="29"/>
        <v>79.3</v>
      </c>
      <c r="X149" s="245">
        <f t="shared" si="30"/>
        <v>79.4</v>
      </c>
      <c r="Y149" s="394">
        <f t="shared" si="31"/>
        <v>4</v>
      </c>
      <c r="Z149" s="10"/>
      <c r="AA149" s="10"/>
    </row>
    <row r="150" spans="1:27" ht="12" customHeight="1">
      <c r="A150" s="154"/>
      <c r="B150" s="154"/>
      <c r="C150" s="154"/>
      <c r="D150" s="154"/>
      <c r="E150" s="154"/>
      <c r="F150" s="154"/>
      <c r="G150" s="154"/>
      <c r="H150" s="154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245">
        <f t="shared" si="26"/>
        <v>79.5</v>
      </c>
      <c r="U150" s="245">
        <f t="shared" si="27"/>
        <v>79.6</v>
      </c>
      <c r="V150" s="245">
        <f t="shared" si="28"/>
        <v>79.7</v>
      </c>
      <c r="W150" s="245">
        <f t="shared" si="29"/>
        <v>79.8</v>
      </c>
      <c r="X150" s="245">
        <f t="shared" si="30"/>
        <v>79.9</v>
      </c>
      <c r="Y150" s="394">
        <f t="shared" si="31"/>
        <v>2</v>
      </c>
      <c r="Z150" s="10"/>
      <c r="AA150" s="10"/>
    </row>
    <row r="151" spans="1:27" ht="12" customHeight="1">
      <c r="A151" s="154"/>
      <c r="B151" s="154"/>
      <c r="C151" s="154"/>
      <c r="D151" s="154"/>
      <c r="E151" s="154"/>
      <c r="F151" s="154"/>
      <c r="G151" s="154"/>
      <c r="H151" s="154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343">
        <f t="shared" si="26"/>
        <v>80</v>
      </c>
      <c r="U151" s="343">
        <f t="shared" si="27"/>
        <v>80.1</v>
      </c>
      <c r="V151" s="343">
        <f t="shared" si="28"/>
        <v>80.2</v>
      </c>
      <c r="W151" s="343">
        <f t="shared" si="29"/>
        <v>80.3</v>
      </c>
      <c r="X151" s="343">
        <f t="shared" si="30"/>
        <v>80.4</v>
      </c>
      <c r="Y151" s="401">
        <f t="shared" si="31"/>
        <v>0</v>
      </c>
      <c r="Z151" s="10"/>
      <c r="AA151" s="10"/>
    </row>
  </sheetData>
  <sheetProtection password="E074" sheet="1" objects="1" scenarios="1"/>
  <mergeCells count="319">
    <mergeCell ref="A1:H2"/>
    <mergeCell ref="J78:L78"/>
    <mergeCell ref="G90:H90"/>
    <mergeCell ref="J31:L31"/>
    <mergeCell ref="G43:H43"/>
    <mergeCell ref="D55:E55"/>
    <mergeCell ref="A59:B59"/>
    <mergeCell ref="D46:E46"/>
    <mergeCell ref="A58:B58"/>
    <mergeCell ref="D47:E47"/>
    <mergeCell ref="A95:B95"/>
    <mergeCell ref="J62:L62"/>
    <mergeCell ref="G74:H74"/>
    <mergeCell ref="D86:E86"/>
    <mergeCell ref="A77:B77"/>
    <mergeCell ref="A67:B67"/>
    <mergeCell ref="D95:E95"/>
    <mergeCell ref="D65:E65"/>
    <mergeCell ref="J92:L92"/>
    <mergeCell ref="J91:L91"/>
    <mergeCell ref="J90:L90"/>
    <mergeCell ref="G35:H35"/>
    <mergeCell ref="G34:H34"/>
    <mergeCell ref="I26:L26"/>
    <mergeCell ref="J41:L41"/>
    <mergeCell ref="G53:H53"/>
    <mergeCell ref="J87:L87"/>
    <mergeCell ref="J89:L89"/>
    <mergeCell ref="J95:L95"/>
    <mergeCell ref="J81:L81"/>
    <mergeCell ref="G93:H93"/>
    <mergeCell ref="J82:L82"/>
    <mergeCell ref="G94:H94"/>
    <mergeCell ref="J83:L83"/>
    <mergeCell ref="J93:L93"/>
    <mergeCell ref="G95:H95"/>
    <mergeCell ref="G91:H91"/>
    <mergeCell ref="J88:L88"/>
    <mergeCell ref="P25:Q25"/>
    <mergeCell ref="A41:B41"/>
    <mergeCell ref="I1:Q2"/>
    <mergeCell ref="J94:L94"/>
    <mergeCell ref="J46:L46"/>
    <mergeCell ref="G58:H58"/>
    <mergeCell ref="D70:E70"/>
    <mergeCell ref="A82:B82"/>
    <mergeCell ref="O26:P26"/>
    <mergeCell ref="J49:L49"/>
    <mergeCell ref="N7:O7"/>
    <mergeCell ref="I9:L9"/>
    <mergeCell ref="J79:L79"/>
    <mergeCell ref="J32:L32"/>
    <mergeCell ref="J56:L56"/>
    <mergeCell ref="J60:L60"/>
    <mergeCell ref="N25:O25"/>
    <mergeCell ref="P8:Q8"/>
    <mergeCell ref="J80:L80"/>
    <mergeCell ref="G92:H92"/>
    <mergeCell ref="J33:L33"/>
    <mergeCell ref="G45:H45"/>
    <mergeCell ref="P9:Q9"/>
    <mergeCell ref="J59:L59"/>
    <mergeCell ref="J68:L68"/>
    <mergeCell ref="J63:L63"/>
    <mergeCell ref="G75:H75"/>
    <mergeCell ref="A93:B93"/>
    <mergeCell ref="J58:L58"/>
    <mergeCell ref="G70:H70"/>
    <mergeCell ref="D82:E82"/>
    <mergeCell ref="G80:H80"/>
    <mergeCell ref="D92:E92"/>
    <mergeCell ref="G61:H61"/>
    <mergeCell ref="D73:E73"/>
    <mergeCell ref="D93:E93"/>
    <mergeCell ref="J71:L71"/>
    <mergeCell ref="D91:E91"/>
    <mergeCell ref="A92:B92"/>
    <mergeCell ref="A85:B85"/>
    <mergeCell ref="D81:E81"/>
    <mergeCell ref="J61:L61"/>
    <mergeCell ref="G73:H73"/>
    <mergeCell ref="D62:E62"/>
    <mergeCell ref="A94:B94"/>
    <mergeCell ref="J70:L70"/>
    <mergeCell ref="G82:H82"/>
    <mergeCell ref="D94:E94"/>
    <mergeCell ref="G78:H78"/>
    <mergeCell ref="D90:E90"/>
    <mergeCell ref="G79:H79"/>
    <mergeCell ref="G68:H68"/>
    <mergeCell ref="D80:E80"/>
    <mergeCell ref="J66:L66"/>
    <mergeCell ref="D71:E71"/>
    <mergeCell ref="G72:H72"/>
    <mergeCell ref="G69:H69"/>
    <mergeCell ref="J65:L65"/>
    <mergeCell ref="J84:L84"/>
    <mergeCell ref="J85:L85"/>
    <mergeCell ref="J86:L86"/>
    <mergeCell ref="J75:L75"/>
    <mergeCell ref="J67:L67"/>
    <mergeCell ref="D78:E78"/>
    <mergeCell ref="D88:E88"/>
    <mergeCell ref="G77:H77"/>
    <mergeCell ref="D89:E89"/>
    <mergeCell ref="D87:E87"/>
    <mergeCell ref="D85:E85"/>
    <mergeCell ref="D84:E84"/>
    <mergeCell ref="G83:H83"/>
    <mergeCell ref="J64:L64"/>
    <mergeCell ref="A91:B91"/>
    <mergeCell ref="J69:L69"/>
    <mergeCell ref="G81:H81"/>
    <mergeCell ref="G89:H89"/>
    <mergeCell ref="G87:H87"/>
    <mergeCell ref="J76:L76"/>
    <mergeCell ref="G88:H88"/>
    <mergeCell ref="J77:L77"/>
    <mergeCell ref="A89:B89"/>
    <mergeCell ref="G86:H86"/>
    <mergeCell ref="A90:B90"/>
    <mergeCell ref="J55:L55"/>
    <mergeCell ref="G67:H67"/>
    <mergeCell ref="D79:E79"/>
    <mergeCell ref="D56:E56"/>
    <mergeCell ref="A68:B68"/>
    <mergeCell ref="G66:H66"/>
    <mergeCell ref="D57:E57"/>
    <mergeCell ref="A69:B69"/>
    <mergeCell ref="J54:L54"/>
    <mergeCell ref="A88:B88"/>
    <mergeCell ref="J72:L72"/>
    <mergeCell ref="G84:H84"/>
    <mergeCell ref="J73:L73"/>
    <mergeCell ref="G85:H85"/>
    <mergeCell ref="J74:L74"/>
    <mergeCell ref="D83:E83"/>
    <mergeCell ref="A86:B86"/>
    <mergeCell ref="D75:E75"/>
    <mergeCell ref="A80:B80"/>
    <mergeCell ref="A87:B87"/>
    <mergeCell ref="J52:L52"/>
    <mergeCell ref="G64:H64"/>
    <mergeCell ref="D76:E76"/>
    <mergeCell ref="G71:H71"/>
    <mergeCell ref="G63:H63"/>
    <mergeCell ref="J53:L53"/>
    <mergeCell ref="G65:H65"/>
    <mergeCell ref="D77:E77"/>
    <mergeCell ref="G59:H59"/>
    <mergeCell ref="A83:B83"/>
    <mergeCell ref="J48:L48"/>
    <mergeCell ref="G60:H60"/>
    <mergeCell ref="D72:E72"/>
    <mergeCell ref="G56:H56"/>
    <mergeCell ref="D68:E68"/>
    <mergeCell ref="J51:L51"/>
    <mergeCell ref="G76:H76"/>
    <mergeCell ref="J57:L57"/>
    <mergeCell ref="A57:B57"/>
    <mergeCell ref="A84:B84"/>
    <mergeCell ref="J50:L50"/>
    <mergeCell ref="G62:H62"/>
    <mergeCell ref="D74:E74"/>
    <mergeCell ref="A79:B79"/>
    <mergeCell ref="G54:H54"/>
    <mergeCell ref="D66:E66"/>
    <mergeCell ref="A78:B78"/>
    <mergeCell ref="A81:B81"/>
    <mergeCell ref="D69:E69"/>
    <mergeCell ref="A76:B76"/>
    <mergeCell ref="D59:E59"/>
    <mergeCell ref="A71:B71"/>
    <mergeCell ref="D63:E63"/>
    <mergeCell ref="A75:B75"/>
    <mergeCell ref="J39:L39"/>
    <mergeCell ref="G51:H51"/>
    <mergeCell ref="J43:L43"/>
    <mergeCell ref="G50:H50"/>
    <mergeCell ref="J45:L45"/>
    <mergeCell ref="J47:L47"/>
    <mergeCell ref="G44:H44"/>
    <mergeCell ref="J42:L42"/>
    <mergeCell ref="J44:L44"/>
    <mergeCell ref="A74:B74"/>
    <mergeCell ref="G52:H52"/>
    <mergeCell ref="D64:E64"/>
    <mergeCell ref="A72:B72"/>
    <mergeCell ref="A53:B53"/>
    <mergeCell ref="D61:E61"/>
    <mergeCell ref="A73:B73"/>
    <mergeCell ref="G47:H47"/>
    <mergeCell ref="G15:H15"/>
    <mergeCell ref="A39:B39"/>
    <mergeCell ref="A30:M30"/>
    <mergeCell ref="I25:L25"/>
    <mergeCell ref="J38:L38"/>
    <mergeCell ref="J36:L36"/>
    <mergeCell ref="G38:H38"/>
    <mergeCell ref="I23:L23"/>
    <mergeCell ref="G31:H31"/>
    <mergeCell ref="J35:L35"/>
    <mergeCell ref="H3:J3"/>
    <mergeCell ref="A31:B31"/>
    <mergeCell ref="G8:H8"/>
    <mergeCell ref="A32:B32"/>
    <mergeCell ref="G9:H9"/>
    <mergeCell ref="I21:L21"/>
    <mergeCell ref="B21:F21"/>
    <mergeCell ref="B22:F22"/>
    <mergeCell ref="A29:D29"/>
    <mergeCell ref="B24:F24"/>
    <mergeCell ref="A70:B70"/>
    <mergeCell ref="D67:E67"/>
    <mergeCell ref="A54:B54"/>
    <mergeCell ref="J40:L40"/>
    <mergeCell ref="D45:E45"/>
    <mergeCell ref="A55:B55"/>
    <mergeCell ref="G48:H48"/>
    <mergeCell ref="D60:E60"/>
    <mergeCell ref="D43:E43"/>
    <mergeCell ref="D54:E54"/>
    <mergeCell ref="G49:H49"/>
    <mergeCell ref="A66:B66"/>
    <mergeCell ref="A56:B56"/>
    <mergeCell ref="A51:B51"/>
    <mergeCell ref="D58:E58"/>
    <mergeCell ref="A65:B65"/>
    <mergeCell ref="A63:B63"/>
    <mergeCell ref="A61:B61"/>
    <mergeCell ref="G55:H55"/>
    <mergeCell ref="G57:H57"/>
    <mergeCell ref="A62:B62"/>
    <mergeCell ref="A60:B60"/>
    <mergeCell ref="N4:Q5"/>
    <mergeCell ref="I24:L24"/>
    <mergeCell ref="G32:H32"/>
    <mergeCell ref="D44:E44"/>
    <mergeCell ref="B20:F20"/>
    <mergeCell ref="B19:F19"/>
    <mergeCell ref="D39:E39"/>
    <mergeCell ref="I19:L19"/>
    <mergeCell ref="M4:M5"/>
    <mergeCell ref="A52:B52"/>
    <mergeCell ref="J34:L34"/>
    <mergeCell ref="G46:H46"/>
    <mergeCell ref="A45:B45"/>
    <mergeCell ref="D34:E34"/>
    <mergeCell ref="A46:B46"/>
    <mergeCell ref="G42:H42"/>
    <mergeCell ref="D52:E52"/>
    <mergeCell ref="D50:E50"/>
    <mergeCell ref="P7:Q7"/>
    <mergeCell ref="N6:Q6"/>
    <mergeCell ref="G41:H41"/>
    <mergeCell ref="B13:F13"/>
    <mergeCell ref="I17:L17"/>
    <mergeCell ref="G40:H40"/>
    <mergeCell ref="I20:L20"/>
    <mergeCell ref="I22:L22"/>
    <mergeCell ref="J37:L37"/>
    <mergeCell ref="A37:B37"/>
    <mergeCell ref="A64:B64"/>
    <mergeCell ref="B15:F15"/>
    <mergeCell ref="D36:E36"/>
    <mergeCell ref="A48:B48"/>
    <mergeCell ref="D53:E53"/>
    <mergeCell ref="D33:E33"/>
    <mergeCell ref="D38:E38"/>
    <mergeCell ref="A50:B50"/>
    <mergeCell ref="D40:E40"/>
    <mergeCell ref="B23:F23"/>
    <mergeCell ref="D51:E51"/>
    <mergeCell ref="A38:B38"/>
    <mergeCell ref="D48:E48"/>
    <mergeCell ref="A42:B42"/>
    <mergeCell ref="A49:B49"/>
    <mergeCell ref="A40:B40"/>
    <mergeCell ref="A43:B43"/>
    <mergeCell ref="D41:E41"/>
    <mergeCell ref="D42:E42"/>
    <mergeCell ref="A47:B47"/>
    <mergeCell ref="G39:H39"/>
    <mergeCell ref="B17:F17"/>
    <mergeCell ref="D37:E37"/>
    <mergeCell ref="A35:B35"/>
    <mergeCell ref="G33:H33"/>
    <mergeCell ref="A33:B33"/>
    <mergeCell ref="A44:B44"/>
    <mergeCell ref="B12:F12"/>
    <mergeCell ref="B16:F16"/>
    <mergeCell ref="G37:H37"/>
    <mergeCell ref="G16:H16"/>
    <mergeCell ref="G36:H36"/>
    <mergeCell ref="G18:H18"/>
    <mergeCell ref="D31:E31"/>
    <mergeCell ref="B18:F18"/>
    <mergeCell ref="B14:F14"/>
    <mergeCell ref="D35:E35"/>
    <mergeCell ref="B6:F6"/>
    <mergeCell ref="A3:B3"/>
    <mergeCell ref="A36:B36"/>
    <mergeCell ref="I12:L12"/>
    <mergeCell ref="D32:E32"/>
    <mergeCell ref="I6:L6"/>
    <mergeCell ref="I8:L8"/>
    <mergeCell ref="B11:F11"/>
    <mergeCell ref="I10:L10"/>
    <mergeCell ref="I11:L11"/>
    <mergeCell ref="I4:L5"/>
    <mergeCell ref="A34:B34"/>
    <mergeCell ref="K3:Q3"/>
    <mergeCell ref="D49:E49"/>
    <mergeCell ref="I13:L13"/>
    <mergeCell ref="I14:L14"/>
    <mergeCell ref="B8:F8"/>
    <mergeCell ref="C3:G3"/>
    <mergeCell ref="B9:F9"/>
    <mergeCell ref="B10:F10"/>
  </mergeCells>
  <printOptions/>
  <pageMargins left="0.7875" right="0.354861" top="0.577083" bottom="0.576389" header="0.511806" footer="0.511806"/>
  <pageSetup horizontalDpi="600" verticalDpi="600" orientation="portrait" scale="85"/>
  <headerFooter alignWithMargins="0">
    <oddFooter>&amp;C000000&amp;P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/>
  </sheetPr>
  <dimension ref="A1:O52"/>
  <sheetViews>
    <sheetView showGridLines="0" workbookViewId="0" topLeftCell="A3">
      <selection activeCell="L18" sqref="L18:M20"/>
    </sheetView>
  </sheetViews>
  <sheetFormatPr defaultColWidth="8.8515625" defaultRowHeight="12" customHeight="1"/>
  <cols>
    <col min="1" max="16384" width="8.8515625" style="5" customWidth="1"/>
  </cols>
  <sheetData>
    <row r="1" spans="1:15" ht="43.5" customHeight="1">
      <c r="A1" s="923" t="s">
        <v>346</v>
      </c>
      <c r="B1" s="924"/>
      <c r="C1" s="924"/>
      <c r="D1" s="924"/>
      <c r="E1" s="924"/>
      <c r="F1" s="924"/>
      <c r="G1" s="924"/>
      <c r="H1" s="925"/>
      <c r="I1" s="919" t="s">
        <v>221</v>
      </c>
      <c r="J1" s="920"/>
      <c r="K1" s="920"/>
      <c r="L1" s="920"/>
      <c r="M1" s="920"/>
      <c r="N1" s="920"/>
      <c r="O1" s="921"/>
    </row>
    <row r="2" spans="1:15" ht="34.5" customHeight="1">
      <c r="A2" s="908" t="s">
        <v>347</v>
      </c>
      <c r="B2" s="909"/>
      <c r="C2" s="402"/>
      <c r="D2" s="403"/>
      <c r="E2" s="404" t="s">
        <v>348</v>
      </c>
      <c r="F2" s="405"/>
      <c r="G2" s="406"/>
      <c r="H2" s="407"/>
      <c r="I2" s="404" t="s">
        <v>220</v>
      </c>
      <c r="J2" s="406"/>
      <c r="K2" s="408"/>
      <c r="L2" s="408"/>
      <c r="M2" s="922"/>
      <c r="N2" s="922"/>
      <c r="O2" s="409"/>
    </row>
    <row r="3" spans="1:15" ht="9" customHeight="1">
      <c r="A3" s="410"/>
      <c r="B3" s="410"/>
      <c r="C3" s="410"/>
      <c r="D3" s="410"/>
      <c r="E3" s="410"/>
      <c r="F3" s="410"/>
      <c r="G3" s="410"/>
      <c r="H3" s="411"/>
      <c r="I3" s="412"/>
      <c r="J3" s="412"/>
      <c r="K3" s="412"/>
      <c r="L3" s="411"/>
      <c r="M3" s="412"/>
      <c r="N3" s="412"/>
      <c r="O3" s="412"/>
    </row>
    <row r="4" spans="1:15" ht="24" customHeight="1">
      <c r="A4" s="413" t="s">
        <v>224</v>
      </c>
      <c r="B4" s="904" t="s">
        <v>225</v>
      </c>
      <c r="C4" s="905"/>
      <c r="D4" s="905"/>
      <c r="E4" s="905"/>
      <c r="F4" s="904" t="s">
        <v>280</v>
      </c>
      <c r="G4" s="926"/>
      <c r="H4" s="904" t="s">
        <v>227</v>
      </c>
      <c r="I4" s="905"/>
      <c r="J4" s="905"/>
      <c r="K4" s="905"/>
      <c r="L4" s="904" t="s">
        <v>349</v>
      </c>
      <c r="M4" s="905"/>
      <c r="N4" s="947" t="s">
        <v>350</v>
      </c>
      <c r="O4" s="948"/>
    </row>
    <row r="5" spans="1:15" ht="24" customHeight="1">
      <c r="A5" s="414">
        <v>60</v>
      </c>
      <c r="B5" s="415" t="s">
        <v>229</v>
      </c>
      <c r="C5" s="416"/>
      <c r="D5" s="416"/>
      <c r="E5" s="417"/>
      <c r="F5" s="418">
        <v>3</v>
      </c>
      <c r="G5" s="419" t="s">
        <v>230</v>
      </c>
      <c r="H5" s="914"/>
      <c r="I5" s="914"/>
      <c r="J5" s="914"/>
      <c r="K5" s="914"/>
      <c r="L5" s="915" t="s">
        <v>351</v>
      </c>
      <c r="M5" s="916"/>
      <c r="N5" s="914"/>
      <c r="O5" s="918"/>
    </row>
    <row r="6" spans="1:15" ht="24" customHeight="1">
      <c r="A6" s="414">
        <v>400</v>
      </c>
      <c r="B6" s="415" t="s">
        <v>231</v>
      </c>
      <c r="C6" s="416"/>
      <c r="D6" s="416"/>
      <c r="E6" s="417"/>
      <c r="F6" s="419" t="s">
        <v>232</v>
      </c>
      <c r="G6" s="419" t="s">
        <v>233</v>
      </c>
      <c r="H6" s="914"/>
      <c r="I6" s="914"/>
      <c r="J6" s="914"/>
      <c r="K6" s="914"/>
      <c r="L6" s="915" t="s">
        <v>351</v>
      </c>
      <c r="M6" s="916"/>
      <c r="N6" s="914"/>
      <c r="O6" s="918"/>
    </row>
    <row r="7" spans="1:15" ht="24" customHeight="1">
      <c r="A7" s="414">
        <v>20</v>
      </c>
      <c r="B7" s="415" t="s">
        <v>234</v>
      </c>
      <c r="C7" s="416"/>
      <c r="D7" s="416"/>
      <c r="E7" s="417"/>
      <c r="F7" s="419" t="s">
        <v>235</v>
      </c>
      <c r="G7" s="419" t="s">
        <v>233</v>
      </c>
      <c r="H7" s="914"/>
      <c r="I7" s="914"/>
      <c r="J7" s="914"/>
      <c r="K7" s="914"/>
      <c r="L7" s="915" t="s">
        <v>351</v>
      </c>
      <c r="M7" s="916"/>
      <c r="N7" s="914"/>
      <c r="O7" s="918"/>
    </row>
    <row r="8" spans="1:15" ht="24" customHeight="1">
      <c r="A8" s="414">
        <v>60</v>
      </c>
      <c r="B8" s="415" t="s">
        <v>236</v>
      </c>
      <c r="C8" s="416"/>
      <c r="D8" s="416"/>
      <c r="E8" s="417"/>
      <c r="F8" s="419" t="s">
        <v>237</v>
      </c>
      <c r="G8" s="419" t="s">
        <v>269</v>
      </c>
      <c r="H8" s="914"/>
      <c r="I8" s="914"/>
      <c r="J8" s="914"/>
      <c r="K8" s="914"/>
      <c r="L8" s="915" t="s">
        <v>351</v>
      </c>
      <c r="M8" s="916"/>
      <c r="N8" s="914"/>
      <c r="O8" s="918"/>
    </row>
    <row r="9" spans="1:15" ht="24" customHeight="1">
      <c r="A9" s="912">
        <v>60</v>
      </c>
      <c r="B9" s="910" t="s">
        <v>239</v>
      </c>
      <c r="C9" s="911"/>
      <c r="D9" s="911"/>
      <c r="E9" s="419" t="s">
        <v>352</v>
      </c>
      <c r="F9" s="906" t="s">
        <v>241</v>
      </c>
      <c r="G9" s="906" t="s">
        <v>242</v>
      </c>
      <c r="H9" s="914"/>
      <c r="I9" s="914"/>
      <c r="J9" s="914"/>
      <c r="K9" s="914"/>
      <c r="L9" s="915" t="s">
        <v>351</v>
      </c>
      <c r="M9" s="916"/>
      <c r="N9" s="914"/>
      <c r="O9" s="918"/>
    </row>
    <row r="10" spans="1:15" ht="24" customHeight="1">
      <c r="A10" s="913"/>
      <c r="B10" s="911"/>
      <c r="C10" s="911"/>
      <c r="D10" s="911"/>
      <c r="E10" s="421" t="s">
        <v>243</v>
      </c>
      <c r="F10" s="907"/>
      <c r="G10" s="907"/>
      <c r="H10" s="914"/>
      <c r="I10" s="914"/>
      <c r="J10" s="914"/>
      <c r="K10" s="914"/>
      <c r="L10" s="916"/>
      <c r="M10" s="916"/>
      <c r="N10" s="914"/>
      <c r="O10" s="918"/>
    </row>
    <row r="11" spans="1:15" ht="24" customHeight="1">
      <c r="A11" s="912">
        <v>60</v>
      </c>
      <c r="B11" s="910" t="s">
        <v>244</v>
      </c>
      <c r="C11" s="911"/>
      <c r="D11" s="911"/>
      <c r="E11" s="419" t="s">
        <v>352</v>
      </c>
      <c r="F11" s="906" t="s">
        <v>245</v>
      </c>
      <c r="G11" s="906" t="s">
        <v>242</v>
      </c>
      <c r="H11" s="914"/>
      <c r="I11" s="914"/>
      <c r="J11" s="914"/>
      <c r="K11" s="914"/>
      <c r="L11" s="915" t="s">
        <v>351</v>
      </c>
      <c r="M11" s="916"/>
      <c r="N11" s="914"/>
      <c r="O11" s="918"/>
    </row>
    <row r="12" spans="1:15" ht="24" customHeight="1">
      <c r="A12" s="913"/>
      <c r="B12" s="911"/>
      <c r="C12" s="911"/>
      <c r="D12" s="911"/>
      <c r="E12" s="419" t="s">
        <v>243</v>
      </c>
      <c r="F12" s="907"/>
      <c r="G12" s="907"/>
      <c r="H12" s="914"/>
      <c r="I12" s="914"/>
      <c r="J12" s="914"/>
      <c r="K12" s="914"/>
      <c r="L12" s="916"/>
      <c r="M12" s="916"/>
      <c r="N12" s="914"/>
      <c r="O12" s="918"/>
    </row>
    <row r="13" spans="1:15" ht="24" customHeight="1">
      <c r="A13" s="414">
        <v>-100</v>
      </c>
      <c r="B13" s="415" t="s">
        <v>246</v>
      </c>
      <c r="C13" s="416"/>
      <c r="D13" s="416"/>
      <c r="E13" s="417"/>
      <c r="F13" s="415" t="s">
        <v>247</v>
      </c>
      <c r="G13" s="422"/>
      <c r="H13" s="419" t="s">
        <v>286</v>
      </c>
      <c r="I13" s="423"/>
      <c r="J13" s="419" t="s">
        <v>287</v>
      </c>
      <c r="K13" s="146"/>
      <c r="L13" s="917"/>
      <c r="M13" s="917"/>
      <c r="N13" s="915" t="s">
        <v>351</v>
      </c>
      <c r="O13" s="930"/>
    </row>
    <row r="14" spans="1:15" ht="24" customHeight="1">
      <c r="A14" s="414">
        <v>-10</v>
      </c>
      <c r="B14" s="415" t="s">
        <v>250</v>
      </c>
      <c r="C14" s="416"/>
      <c r="D14" s="416"/>
      <c r="E14" s="417"/>
      <c r="F14" s="415" t="s">
        <v>353</v>
      </c>
      <c r="G14" s="422"/>
      <c r="H14" s="424"/>
      <c r="I14" s="425"/>
      <c r="J14" s="425"/>
      <c r="K14" s="144"/>
      <c r="L14" s="917"/>
      <c r="M14" s="917"/>
      <c r="N14" s="915" t="s">
        <v>351</v>
      </c>
      <c r="O14" s="930"/>
    </row>
    <row r="15" spans="1:15" ht="24" customHeight="1">
      <c r="A15" s="414">
        <v>-50</v>
      </c>
      <c r="B15" s="415" t="s">
        <v>252</v>
      </c>
      <c r="C15" s="416"/>
      <c r="D15" s="416"/>
      <c r="E15" s="417"/>
      <c r="F15" s="415" t="s">
        <v>247</v>
      </c>
      <c r="G15" s="422"/>
      <c r="H15" s="419" t="s">
        <v>286</v>
      </c>
      <c r="I15" s="423"/>
      <c r="J15" s="419" t="s">
        <v>287</v>
      </c>
      <c r="K15" s="146"/>
      <c r="L15" s="917"/>
      <c r="M15" s="917"/>
      <c r="N15" s="915" t="s">
        <v>351</v>
      </c>
      <c r="O15" s="930"/>
    </row>
    <row r="16" spans="1:15" ht="24" customHeight="1">
      <c r="A16" s="414">
        <v>-30</v>
      </c>
      <c r="B16" s="415" t="s">
        <v>253</v>
      </c>
      <c r="C16" s="416"/>
      <c r="D16" s="416"/>
      <c r="E16" s="417"/>
      <c r="F16" s="415" t="s">
        <v>254</v>
      </c>
      <c r="G16" s="422"/>
      <c r="H16" s="419" t="s">
        <v>286</v>
      </c>
      <c r="I16" s="423"/>
      <c r="J16" s="419" t="s">
        <v>287</v>
      </c>
      <c r="K16" s="146"/>
      <c r="L16" s="917"/>
      <c r="M16" s="917"/>
      <c r="N16" s="915" t="s">
        <v>351</v>
      </c>
      <c r="O16" s="930"/>
    </row>
    <row r="17" spans="1:15" ht="24" customHeight="1">
      <c r="A17" s="414">
        <v>-30</v>
      </c>
      <c r="B17" s="927" t="s">
        <v>255</v>
      </c>
      <c r="C17" s="928"/>
      <c r="D17" s="929"/>
      <c r="E17" s="427"/>
      <c r="F17" s="428">
        <v>0</v>
      </c>
      <c r="G17" s="429" t="s">
        <v>256</v>
      </c>
      <c r="H17" s="424"/>
      <c r="I17" s="425"/>
      <c r="J17" s="425"/>
      <c r="K17" s="144"/>
      <c r="L17" s="917"/>
      <c r="M17" s="917"/>
      <c r="N17" s="931" t="s">
        <v>351</v>
      </c>
      <c r="O17" s="932"/>
    </row>
    <row r="18" spans="1:15" ht="24" customHeight="1">
      <c r="A18" s="414">
        <v>-20</v>
      </c>
      <c r="B18" s="415" t="s">
        <v>257</v>
      </c>
      <c r="C18" s="416"/>
      <c r="D18" s="416"/>
      <c r="E18" s="417"/>
      <c r="F18" s="415" t="s">
        <v>247</v>
      </c>
      <c r="G18" s="422"/>
      <c r="H18" s="419" t="s">
        <v>286</v>
      </c>
      <c r="I18" s="423"/>
      <c r="J18" s="419" t="s">
        <v>287</v>
      </c>
      <c r="K18" s="146"/>
      <c r="L18" s="917"/>
      <c r="M18" s="917"/>
      <c r="N18" s="915" t="s">
        <v>351</v>
      </c>
      <c r="O18" s="930"/>
    </row>
    <row r="19" spans="1:15" ht="24" customHeight="1">
      <c r="A19" s="414">
        <v>-50</v>
      </c>
      <c r="B19" s="415" t="s">
        <v>258</v>
      </c>
      <c r="C19" s="416"/>
      <c r="D19" s="416"/>
      <c r="E19" s="417"/>
      <c r="F19" s="415" t="s">
        <v>247</v>
      </c>
      <c r="G19" s="422"/>
      <c r="H19" s="419" t="s">
        <v>286</v>
      </c>
      <c r="I19" s="423"/>
      <c r="J19" s="419" t="s">
        <v>287</v>
      </c>
      <c r="K19" s="146"/>
      <c r="L19" s="917"/>
      <c r="M19" s="917"/>
      <c r="N19" s="915" t="s">
        <v>351</v>
      </c>
      <c r="O19" s="930"/>
    </row>
    <row r="20" spans="1:15" ht="24" customHeight="1">
      <c r="A20" s="414">
        <v>-20</v>
      </c>
      <c r="B20" s="415" t="s">
        <v>259</v>
      </c>
      <c r="C20" s="416"/>
      <c r="D20" s="416"/>
      <c r="E20" s="417"/>
      <c r="F20" s="415" t="s">
        <v>247</v>
      </c>
      <c r="G20" s="422"/>
      <c r="H20" s="419" t="s">
        <v>286</v>
      </c>
      <c r="I20" s="423"/>
      <c r="J20" s="419" t="s">
        <v>287</v>
      </c>
      <c r="K20" s="146"/>
      <c r="L20" s="917"/>
      <c r="M20" s="917"/>
      <c r="N20" s="915" t="s">
        <v>351</v>
      </c>
      <c r="O20" s="930"/>
    </row>
    <row r="21" spans="1:15" ht="24" customHeight="1">
      <c r="A21" s="414">
        <v>-20</v>
      </c>
      <c r="B21" s="927" t="s">
        <v>260</v>
      </c>
      <c r="C21" s="928"/>
      <c r="D21" s="928"/>
      <c r="E21" s="928"/>
      <c r="F21" s="430">
        <v>0</v>
      </c>
      <c r="G21" s="419" t="s">
        <v>256</v>
      </c>
      <c r="H21" s="153"/>
      <c r="I21" s="164"/>
      <c r="J21" s="164"/>
      <c r="K21" s="144"/>
      <c r="L21" s="917"/>
      <c r="M21" s="917"/>
      <c r="N21" s="931" t="s">
        <v>351</v>
      </c>
      <c r="O21" s="932"/>
    </row>
    <row r="22" spans="1:15" ht="24" customHeight="1">
      <c r="A22" s="414">
        <v>-50</v>
      </c>
      <c r="B22" s="415" t="s">
        <v>261</v>
      </c>
      <c r="C22" s="416"/>
      <c r="D22" s="416"/>
      <c r="E22" s="417"/>
      <c r="F22" s="430">
        <v>0</v>
      </c>
      <c r="G22" s="419" t="s">
        <v>256</v>
      </c>
      <c r="H22" s="153"/>
      <c r="I22" s="164"/>
      <c r="J22" s="164"/>
      <c r="K22" s="144"/>
      <c r="L22" s="917"/>
      <c r="M22" s="917"/>
      <c r="N22" s="915" t="s">
        <v>351</v>
      </c>
      <c r="O22" s="930"/>
    </row>
    <row r="23" spans="1:15" ht="24" customHeight="1">
      <c r="A23" s="414">
        <v>-20</v>
      </c>
      <c r="B23" s="415" t="s">
        <v>262</v>
      </c>
      <c r="C23" s="416"/>
      <c r="D23" s="416"/>
      <c r="E23" s="417"/>
      <c r="F23" s="430">
        <v>0</v>
      </c>
      <c r="G23" s="419" t="s">
        <v>256</v>
      </c>
      <c r="H23" s="153"/>
      <c r="I23" s="164"/>
      <c r="J23" s="164"/>
      <c r="K23" s="144"/>
      <c r="L23" s="917"/>
      <c r="M23" s="917"/>
      <c r="N23" s="915" t="s">
        <v>351</v>
      </c>
      <c r="O23" s="930"/>
    </row>
    <row r="24" spans="1:15" ht="24" customHeight="1">
      <c r="A24" s="414">
        <v>-20</v>
      </c>
      <c r="B24" s="415" t="s">
        <v>263</v>
      </c>
      <c r="C24" s="416"/>
      <c r="D24" s="416"/>
      <c r="E24" s="417"/>
      <c r="F24" s="430">
        <v>0</v>
      </c>
      <c r="G24" s="419" t="s">
        <v>256</v>
      </c>
      <c r="H24" s="153"/>
      <c r="I24" s="164"/>
      <c r="J24" s="164"/>
      <c r="K24" s="144"/>
      <c r="L24" s="917"/>
      <c r="M24" s="917"/>
      <c r="N24" s="915" t="s">
        <v>351</v>
      </c>
      <c r="O24" s="930"/>
    </row>
    <row r="25" spans="1:15" ht="24" customHeight="1">
      <c r="A25" s="414">
        <v>-20</v>
      </c>
      <c r="B25" s="415" t="s">
        <v>264</v>
      </c>
      <c r="C25" s="416"/>
      <c r="D25" s="416"/>
      <c r="E25" s="417"/>
      <c r="F25" s="430">
        <v>0</v>
      </c>
      <c r="G25" s="419" t="s">
        <v>256</v>
      </c>
      <c r="H25" s="153"/>
      <c r="I25" s="164"/>
      <c r="J25" s="164"/>
      <c r="K25" s="144"/>
      <c r="L25" s="917"/>
      <c r="M25" s="917"/>
      <c r="N25" s="915" t="s">
        <v>351</v>
      </c>
      <c r="O25" s="930"/>
    </row>
    <row r="26" spans="1:15" ht="24" customHeight="1">
      <c r="A26" s="414">
        <v>-50</v>
      </c>
      <c r="B26" s="415" t="s">
        <v>265</v>
      </c>
      <c r="C26" s="416"/>
      <c r="D26" s="416"/>
      <c r="E26" s="417"/>
      <c r="F26" s="430">
        <v>0</v>
      </c>
      <c r="G26" s="419" t="s">
        <v>256</v>
      </c>
      <c r="H26" s="153"/>
      <c r="I26" s="164"/>
      <c r="J26" s="164"/>
      <c r="K26" s="144"/>
      <c r="L26" s="956"/>
      <c r="M26" s="956"/>
      <c r="N26" s="937" t="s">
        <v>351</v>
      </c>
      <c r="O26" s="938"/>
    </row>
    <row r="27" spans="1:15" ht="31.5" customHeight="1">
      <c r="A27" s="431"/>
      <c r="B27" s="432"/>
      <c r="C27" s="433"/>
      <c r="D27" s="433"/>
      <c r="E27" s="433"/>
      <c r="F27" s="433"/>
      <c r="G27" s="434"/>
      <c r="H27" s="957" t="s">
        <v>266</v>
      </c>
      <c r="I27" s="958"/>
      <c r="J27" s="958"/>
      <c r="K27" s="959"/>
      <c r="L27" s="945"/>
      <c r="M27" s="946"/>
      <c r="N27" s="935"/>
      <c r="O27" s="936"/>
    </row>
    <row r="28" spans="1:15" ht="34.5" customHeight="1">
      <c r="A28" s="435">
        <v>660</v>
      </c>
      <c r="B28" s="436"/>
      <c r="C28" s="437"/>
      <c r="D28" s="437"/>
      <c r="E28" s="437"/>
      <c r="F28" s="437"/>
      <c r="G28" s="437"/>
      <c r="H28" s="949" t="s">
        <v>267</v>
      </c>
      <c r="I28" s="950"/>
      <c r="J28" s="950"/>
      <c r="K28" s="951"/>
      <c r="L28" s="941"/>
      <c r="M28" s="942"/>
      <c r="N28" s="942"/>
      <c r="O28" s="943"/>
    </row>
    <row r="29" spans="1:15" ht="15" customHeight="1">
      <c r="A29" s="438" t="s">
        <v>268</v>
      </c>
      <c r="B29" s="439"/>
      <c r="C29" s="440"/>
      <c r="D29" s="440"/>
      <c r="E29" s="440"/>
      <c r="F29" s="440"/>
      <c r="G29" s="441"/>
      <c r="H29" s="442"/>
      <c r="I29" s="442"/>
      <c r="J29" s="442"/>
      <c r="K29" s="442"/>
      <c r="L29" s="442"/>
      <c r="M29" s="442"/>
      <c r="N29" s="442"/>
      <c r="O29" s="442"/>
    </row>
    <row r="30" spans="1:15" ht="12.75" customHeight="1">
      <c r="A30" s="939" t="s">
        <v>231</v>
      </c>
      <c r="B30" s="940"/>
      <c r="C30" s="940"/>
      <c r="D30" s="940"/>
      <c r="E30" s="940"/>
      <c r="F30" s="940"/>
      <c r="G30" s="939" t="s">
        <v>234</v>
      </c>
      <c r="H30" s="940"/>
      <c r="I30" s="940"/>
      <c r="J30" s="939" t="s">
        <v>239</v>
      </c>
      <c r="K30" s="940"/>
      <c r="L30" s="940"/>
      <c r="M30" s="939" t="s">
        <v>244</v>
      </c>
      <c r="N30" s="940"/>
      <c r="O30" s="940"/>
    </row>
    <row r="31" spans="1:15" ht="12.75" customHeight="1">
      <c r="A31" s="443" t="s">
        <v>233</v>
      </c>
      <c r="B31" s="444" t="s">
        <v>224</v>
      </c>
      <c r="C31" s="443" t="s">
        <v>233</v>
      </c>
      <c r="D31" s="444" t="s">
        <v>224</v>
      </c>
      <c r="E31" s="443" t="s">
        <v>233</v>
      </c>
      <c r="F31" s="445" t="s">
        <v>224</v>
      </c>
      <c r="G31" s="933" t="s">
        <v>233</v>
      </c>
      <c r="H31" s="934"/>
      <c r="I31" s="445" t="s">
        <v>224</v>
      </c>
      <c r="J31" s="933" t="s">
        <v>242</v>
      </c>
      <c r="K31" s="934"/>
      <c r="L31" s="445" t="s">
        <v>224</v>
      </c>
      <c r="M31" s="933" t="s">
        <v>242</v>
      </c>
      <c r="N31" s="934"/>
      <c r="O31" s="445" t="s">
        <v>224</v>
      </c>
    </row>
    <row r="32" spans="1:15" ht="12" customHeight="1">
      <c r="A32" s="446">
        <v>0</v>
      </c>
      <c r="B32" s="447">
        <v>400</v>
      </c>
      <c r="C32" s="448">
        <v>21</v>
      </c>
      <c r="D32" s="449">
        <v>379</v>
      </c>
      <c r="E32" s="448">
        <v>42</v>
      </c>
      <c r="F32" s="450">
        <v>358</v>
      </c>
      <c r="G32" s="933" t="s">
        <v>354</v>
      </c>
      <c r="H32" s="944"/>
      <c r="I32" s="451">
        <v>20</v>
      </c>
      <c r="J32" s="933" t="s">
        <v>355</v>
      </c>
      <c r="K32" s="944"/>
      <c r="L32" s="451">
        <v>60</v>
      </c>
      <c r="M32" s="933" t="s">
        <v>356</v>
      </c>
      <c r="N32" s="944"/>
      <c r="O32" s="451">
        <v>60</v>
      </c>
    </row>
    <row r="33" spans="1:15" ht="12.75" customHeight="1">
      <c r="A33" s="448">
        <v>1</v>
      </c>
      <c r="B33" s="449">
        <v>399</v>
      </c>
      <c r="C33" s="448">
        <v>22</v>
      </c>
      <c r="D33" s="449">
        <v>378</v>
      </c>
      <c r="E33" s="448">
        <v>43</v>
      </c>
      <c r="F33" s="450">
        <v>357</v>
      </c>
      <c r="G33" s="452">
        <v>6</v>
      </c>
      <c r="H33" s="453">
        <v>13</v>
      </c>
      <c r="I33" s="450">
        <v>15</v>
      </c>
      <c r="J33" s="452">
        <v>24</v>
      </c>
      <c r="K33" s="453">
        <v>36</v>
      </c>
      <c r="L33" s="450">
        <v>56</v>
      </c>
      <c r="M33" s="452">
        <v>19</v>
      </c>
      <c r="N33" s="453">
        <v>36</v>
      </c>
      <c r="O33" s="450">
        <v>55</v>
      </c>
    </row>
    <row r="34" spans="1:15" ht="12.75" customHeight="1">
      <c r="A34" s="448">
        <v>2</v>
      </c>
      <c r="B34" s="449">
        <v>398</v>
      </c>
      <c r="C34" s="448">
        <v>23</v>
      </c>
      <c r="D34" s="449">
        <v>377</v>
      </c>
      <c r="E34" s="448">
        <v>44</v>
      </c>
      <c r="F34" s="450">
        <v>356</v>
      </c>
      <c r="G34" s="452">
        <v>5</v>
      </c>
      <c r="H34" s="453">
        <v>14</v>
      </c>
      <c r="I34" s="450">
        <v>10</v>
      </c>
      <c r="J34" s="452">
        <v>23</v>
      </c>
      <c r="K34" s="453">
        <v>37</v>
      </c>
      <c r="L34" s="450">
        <v>52</v>
      </c>
      <c r="M34" s="452">
        <v>18</v>
      </c>
      <c r="N34" s="453">
        <v>37</v>
      </c>
      <c r="O34" s="450">
        <v>50</v>
      </c>
    </row>
    <row r="35" spans="1:15" ht="12.75" customHeight="1">
      <c r="A35" s="448">
        <v>3</v>
      </c>
      <c r="B35" s="449">
        <v>397</v>
      </c>
      <c r="C35" s="448">
        <v>24</v>
      </c>
      <c r="D35" s="449">
        <v>376</v>
      </c>
      <c r="E35" s="448">
        <v>45</v>
      </c>
      <c r="F35" s="450">
        <v>355</v>
      </c>
      <c r="G35" s="452">
        <v>4</v>
      </c>
      <c r="H35" s="453">
        <v>15</v>
      </c>
      <c r="I35" s="450">
        <v>5</v>
      </c>
      <c r="J35" s="452">
        <v>22</v>
      </c>
      <c r="K35" s="453">
        <v>38</v>
      </c>
      <c r="L35" s="450">
        <v>48</v>
      </c>
      <c r="M35" s="452">
        <v>17</v>
      </c>
      <c r="N35" s="453">
        <v>38</v>
      </c>
      <c r="O35" s="450">
        <v>45</v>
      </c>
    </row>
    <row r="36" spans="1:15" ht="12.75" customHeight="1">
      <c r="A36" s="448">
        <v>4</v>
      </c>
      <c r="B36" s="449">
        <v>396</v>
      </c>
      <c r="C36" s="448">
        <v>25</v>
      </c>
      <c r="D36" s="449">
        <v>375</v>
      </c>
      <c r="E36" s="448">
        <v>46</v>
      </c>
      <c r="F36" s="450">
        <v>354</v>
      </c>
      <c r="G36" s="454" t="s">
        <v>357</v>
      </c>
      <c r="H36" s="455" t="s">
        <v>358</v>
      </c>
      <c r="I36" s="450">
        <v>0</v>
      </c>
      <c r="J36" s="452">
        <v>21</v>
      </c>
      <c r="K36" s="453">
        <v>39</v>
      </c>
      <c r="L36" s="450">
        <v>44</v>
      </c>
      <c r="M36" s="452">
        <v>16</v>
      </c>
      <c r="N36" s="453">
        <v>39</v>
      </c>
      <c r="O36" s="450">
        <v>40</v>
      </c>
    </row>
    <row r="37" spans="1:15" ht="12.75" customHeight="1">
      <c r="A37" s="448">
        <v>5</v>
      </c>
      <c r="B37" s="449">
        <v>395</v>
      </c>
      <c r="C37" s="448">
        <v>26</v>
      </c>
      <c r="D37" s="449">
        <v>374</v>
      </c>
      <c r="E37" s="448">
        <v>47</v>
      </c>
      <c r="F37" s="450">
        <v>353</v>
      </c>
      <c r="G37" s="456"/>
      <c r="H37" s="457"/>
      <c r="I37" s="458"/>
      <c r="J37" s="452">
        <v>20</v>
      </c>
      <c r="K37" s="453">
        <v>40</v>
      </c>
      <c r="L37" s="450">
        <v>40</v>
      </c>
      <c r="M37" s="452">
        <v>15</v>
      </c>
      <c r="N37" s="453">
        <v>40</v>
      </c>
      <c r="O37" s="450">
        <v>35</v>
      </c>
    </row>
    <row r="38" spans="1:15" ht="12.75" customHeight="1">
      <c r="A38" s="448">
        <v>6</v>
      </c>
      <c r="B38" s="449">
        <v>394</v>
      </c>
      <c r="C38" s="448">
        <v>27</v>
      </c>
      <c r="D38" s="449">
        <v>373</v>
      </c>
      <c r="E38" s="448">
        <v>48</v>
      </c>
      <c r="F38" s="450">
        <v>352</v>
      </c>
      <c r="G38" s="459"/>
      <c r="H38" s="460"/>
      <c r="I38" s="461"/>
      <c r="J38" s="452">
        <v>19</v>
      </c>
      <c r="K38" s="453">
        <v>41</v>
      </c>
      <c r="L38" s="450">
        <v>36</v>
      </c>
      <c r="M38" s="452">
        <v>14</v>
      </c>
      <c r="N38" s="453">
        <v>41</v>
      </c>
      <c r="O38" s="450">
        <v>30</v>
      </c>
    </row>
    <row r="39" spans="1:15" ht="12.75" customHeight="1">
      <c r="A39" s="448">
        <v>7</v>
      </c>
      <c r="B39" s="449">
        <v>393</v>
      </c>
      <c r="C39" s="448">
        <v>28</v>
      </c>
      <c r="D39" s="449">
        <v>372</v>
      </c>
      <c r="E39" s="448">
        <v>49</v>
      </c>
      <c r="F39" s="450">
        <v>351</v>
      </c>
      <c r="G39" s="462"/>
      <c r="H39" s="231"/>
      <c r="I39" s="463"/>
      <c r="J39" s="452">
        <v>18</v>
      </c>
      <c r="K39" s="453">
        <v>42</v>
      </c>
      <c r="L39" s="450">
        <v>32</v>
      </c>
      <c r="M39" s="452">
        <v>13</v>
      </c>
      <c r="N39" s="453">
        <v>42</v>
      </c>
      <c r="O39" s="450">
        <v>25</v>
      </c>
    </row>
    <row r="40" spans="1:15" ht="12.75" customHeight="1">
      <c r="A40" s="448">
        <v>8</v>
      </c>
      <c r="B40" s="449">
        <v>392</v>
      </c>
      <c r="C40" s="448">
        <v>29</v>
      </c>
      <c r="D40" s="449">
        <v>371</v>
      </c>
      <c r="E40" s="448">
        <v>50</v>
      </c>
      <c r="F40" s="450">
        <v>350</v>
      </c>
      <c r="G40" s="462"/>
      <c r="H40" s="231"/>
      <c r="I40" s="463"/>
      <c r="J40" s="452">
        <v>17</v>
      </c>
      <c r="K40" s="453">
        <v>43</v>
      </c>
      <c r="L40" s="450">
        <v>28</v>
      </c>
      <c r="M40" s="452">
        <v>12</v>
      </c>
      <c r="N40" s="453">
        <v>43</v>
      </c>
      <c r="O40" s="450">
        <v>20</v>
      </c>
    </row>
    <row r="41" spans="1:15" ht="12.75" customHeight="1">
      <c r="A41" s="448">
        <v>9</v>
      </c>
      <c r="B41" s="449">
        <v>391</v>
      </c>
      <c r="C41" s="448">
        <v>30</v>
      </c>
      <c r="D41" s="449">
        <v>370</v>
      </c>
      <c r="E41" s="448">
        <v>51</v>
      </c>
      <c r="F41" s="450">
        <v>349</v>
      </c>
      <c r="G41" s="462"/>
      <c r="H41" s="231"/>
      <c r="I41" s="463"/>
      <c r="J41" s="452">
        <v>16</v>
      </c>
      <c r="K41" s="453">
        <v>44</v>
      </c>
      <c r="L41" s="450">
        <v>24</v>
      </c>
      <c r="M41" s="452">
        <v>11</v>
      </c>
      <c r="N41" s="453">
        <v>44</v>
      </c>
      <c r="O41" s="450">
        <v>15</v>
      </c>
    </row>
    <row r="42" spans="1:15" ht="12.75" customHeight="1">
      <c r="A42" s="448">
        <v>10</v>
      </c>
      <c r="B42" s="449">
        <v>390</v>
      </c>
      <c r="C42" s="448">
        <v>31</v>
      </c>
      <c r="D42" s="449">
        <v>369</v>
      </c>
      <c r="E42" s="448">
        <v>52</v>
      </c>
      <c r="F42" s="450">
        <v>348</v>
      </c>
      <c r="G42" s="462"/>
      <c r="H42" s="231"/>
      <c r="I42" s="463"/>
      <c r="J42" s="452">
        <v>15</v>
      </c>
      <c r="K42" s="453">
        <v>45</v>
      </c>
      <c r="L42" s="450">
        <v>20</v>
      </c>
      <c r="M42" s="452">
        <v>10</v>
      </c>
      <c r="N42" s="453">
        <v>45</v>
      </c>
      <c r="O42" s="450">
        <v>10</v>
      </c>
    </row>
    <row r="43" spans="1:15" ht="12.75" customHeight="1">
      <c r="A43" s="448">
        <v>11</v>
      </c>
      <c r="B43" s="449">
        <v>389</v>
      </c>
      <c r="C43" s="448">
        <v>32</v>
      </c>
      <c r="D43" s="449">
        <v>368</v>
      </c>
      <c r="E43" s="448">
        <v>53</v>
      </c>
      <c r="F43" s="450">
        <v>347</v>
      </c>
      <c r="G43" s="462"/>
      <c r="H43" s="231"/>
      <c r="I43" s="463"/>
      <c r="J43" s="452">
        <v>14</v>
      </c>
      <c r="K43" s="453">
        <v>46</v>
      </c>
      <c r="L43" s="450">
        <v>16</v>
      </c>
      <c r="M43" s="452">
        <v>9</v>
      </c>
      <c r="N43" s="453">
        <v>46</v>
      </c>
      <c r="O43" s="450">
        <v>5</v>
      </c>
    </row>
    <row r="44" spans="1:15" ht="12.75" customHeight="1">
      <c r="A44" s="448">
        <v>12</v>
      </c>
      <c r="B44" s="449">
        <v>388</v>
      </c>
      <c r="C44" s="448">
        <v>33</v>
      </c>
      <c r="D44" s="449">
        <v>367</v>
      </c>
      <c r="E44" s="448">
        <v>54</v>
      </c>
      <c r="F44" s="450">
        <v>346</v>
      </c>
      <c r="G44" s="954" t="s">
        <v>236</v>
      </c>
      <c r="H44" s="955"/>
      <c r="I44" s="955"/>
      <c r="J44" s="452">
        <v>13</v>
      </c>
      <c r="K44" s="453">
        <v>47</v>
      </c>
      <c r="L44" s="450">
        <v>12</v>
      </c>
      <c r="M44" s="454" t="s">
        <v>359</v>
      </c>
      <c r="N44" s="455" t="s">
        <v>360</v>
      </c>
      <c r="O44" s="450">
        <v>0</v>
      </c>
    </row>
    <row r="45" spans="1:15" ht="15" customHeight="1">
      <c r="A45" s="448">
        <v>13</v>
      </c>
      <c r="B45" s="449">
        <v>387</v>
      </c>
      <c r="C45" s="448">
        <v>34</v>
      </c>
      <c r="D45" s="449">
        <v>366</v>
      </c>
      <c r="E45" s="448">
        <v>55</v>
      </c>
      <c r="F45" s="450">
        <v>345</v>
      </c>
      <c r="G45" s="933" t="s">
        <v>269</v>
      </c>
      <c r="H45" s="934"/>
      <c r="I45" s="445" t="s">
        <v>224</v>
      </c>
      <c r="J45" s="452">
        <v>12</v>
      </c>
      <c r="K45" s="453">
        <v>48</v>
      </c>
      <c r="L45" s="450">
        <v>8</v>
      </c>
      <c r="M45" s="464"/>
      <c r="N45" s="465"/>
      <c r="O45" s="465"/>
    </row>
    <row r="46" spans="1:15" ht="12.75" customHeight="1">
      <c r="A46" s="448">
        <v>14</v>
      </c>
      <c r="B46" s="449">
        <v>386</v>
      </c>
      <c r="C46" s="448">
        <v>35</v>
      </c>
      <c r="D46" s="449">
        <v>365</v>
      </c>
      <c r="E46" s="448">
        <v>56</v>
      </c>
      <c r="F46" s="450">
        <v>344</v>
      </c>
      <c r="G46" s="933" t="s">
        <v>361</v>
      </c>
      <c r="H46" s="944"/>
      <c r="I46" s="451">
        <v>60</v>
      </c>
      <c r="J46" s="452">
        <v>11</v>
      </c>
      <c r="K46" s="453">
        <v>49</v>
      </c>
      <c r="L46" s="450">
        <v>4</v>
      </c>
      <c r="M46" s="459"/>
      <c r="N46" s="466"/>
      <c r="O46" s="466"/>
    </row>
    <row r="47" spans="1:15" ht="12.75" customHeight="1">
      <c r="A47" s="448">
        <v>15</v>
      </c>
      <c r="B47" s="449">
        <v>385</v>
      </c>
      <c r="C47" s="448">
        <v>36</v>
      </c>
      <c r="D47" s="449">
        <v>364</v>
      </c>
      <c r="E47" s="448">
        <v>57</v>
      </c>
      <c r="F47" s="450">
        <v>343</v>
      </c>
      <c r="G47" s="452">
        <v>44</v>
      </c>
      <c r="H47" s="453">
        <v>56</v>
      </c>
      <c r="I47" s="450">
        <v>50</v>
      </c>
      <c r="J47" s="454" t="s">
        <v>362</v>
      </c>
      <c r="K47" s="455" t="s">
        <v>301</v>
      </c>
      <c r="L47" s="450">
        <v>0</v>
      </c>
      <c r="M47" s="459"/>
      <c r="N47" s="466"/>
      <c r="O47" s="466"/>
    </row>
    <row r="48" spans="1:15" ht="15" customHeight="1">
      <c r="A48" s="448">
        <v>16</v>
      </c>
      <c r="B48" s="449">
        <v>384</v>
      </c>
      <c r="C48" s="448">
        <v>37</v>
      </c>
      <c r="D48" s="449">
        <v>363</v>
      </c>
      <c r="E48" s="448">
        <v>58</v>
      </c>
      <c r="F48" s="450">
        <v>342</v>
      </c>
      <c r="G48" s="452">
        <v>43</v>
      </c>
      <c r="H48" s="453">
        <v>57</v>
      </c>
      <c r="I48" s="450">
        <v>40</v>
      </c>
      <c r="J48" s="464"/>
      <c r="K48" s="465"/>
      <c r="L48" s="465"/>
      <c r="M48" s="466"/>
      <c r="N48" s="466"/>
      <c r="O48" s="466"/>
    </row>
    <row r="49" spans="1:15" ht="12" customHeight="1">
      <c r="A49" s="448">
        <v>17</v>
      </c>
      <c r="B49" s="449">
        <v>383</v>
      </c>
      <c r="C49" s="448">
        <v>38</v>
      </c>
      <c r="D49" s="449">
        <v>362</v>
      </c>
      <c r="E49" s="448">
        <v>59</v>
      </c>
      <c r="F49" s="450">
        <v>341</v>
      </c>
      <c r="G49" s="452">
        <v>42</v>
      </c>
      <c r="H49" s="453">
        <v>58</v>
      </c>
      <c r="I49" s="450">
        <v>30</v>
      </c>
      <c r="J49" s="459"/>
      <c r="K49" s="467"/>
      <c r="L49" s="466"/>
      <c r="M49" s="466"/>
      <c r="N49" s="466"/>
      <c r="O49" s="466"/>
    </row>
    <row r="50" spans="1:15" ht="12" customHeight="1">
      <c r="A50" s="448">
        <v>18</v>
      </c>
      <c r="B50" s="449">
        <v>382</v>
      </c>
      <c r="C50" s="448">
        <v>39</v>
      </c>
      <c r="D50" s="449">
        <v>361</v>
      </c>
      <c r="E50" s="448">
        <v>60</v>
      </c>
      <c r="F50" s="450">
        <v>340</v>
      </c>
      <c r="G50" s="452">
        <v>41</v>
      </c>
      <c r="H50" s="453">
        <v>59</v>
      </c>
      <c r="I50" s="450">
        <v>20</v>
      </c>
      <c r="J50" s="459"/>
      <c r="K50" s="466"/>
      <c r="L50" s="466"/>
      <c r="M50" s="466"/>
      <c r="N50" s="466"/>
      <c r="O50" s="466"/>
    </row>
    <row r="51" spans="1:15" ht="12" customHeight="1">
      <c r="A51" s="448">
        <v>19</v>
      </c>
      <c r="B51" s="449">
        <v>381</v>
      </c>
      <c r="C51" s="448">
        <v>40</v>
      </c>
      <c r="D51" s="449">
        <v>360</v>
      </c>
      <c r="E51" s="448">
        <v>61</v>
      </c>
      <c r="F51" s="450">
        <v>339</v>
      </c>
      <c r="G51" s="452">
        <v>40</v>
      </c>
      <c r="H51" s="453">
        <v>60</v>
      </c>
      <c r="I51" s="450">
        <v>10</v>
      </c>
      <c r="J51" s="459"/>
      <c r="K51" s="466"/>
      <c r="L51" s="466"/>
      <c r="M51" s="468"/>
      <c r="N51" s="468"/>
      <c r="O51" s="468"/>
    </row>
    <row r="52" spans="1:15" ht="12" customHeight="1">
      <c r="A52" s="448">
        <v>20</v>
      </c>
      <c r="B52" s="449">
        <v>380</v>
      </c>
      <c r="C52" s="448">
        <v>41</v>
      </c>
      <c r="D52" s="449">
        <v>359</v>
      </c>
      <c r="E52" s="952" t="s">
        <v>363</v>
      </c>
      <c r="F52" s="953"/>
      <c r="G52" s="454" t="s">
        <v>364</v>
      </c>
      <c r="H52" s="455" t="s">
        <v>365</v>
      </c>
      <c r="I52" s="450">
        <v>0</v>
      </c>
      <c r="J52" s="459"/>
      <c r="K52" s="466"/>
      <c r="L52" s="466"/>
      <c r="M52" s="466"/>
      <c r="N52" s="468"/>
      <c r="O52" s="468"/>
    </row>
  </sheetData>
  <sheetProtection/>
  <mergeCells count="84">
    <mergeCell ref="E52:F52"/>
    <mergeCell ref="G44:I44"/>
    <mergeCell ref="L26:M26"/>
    <mergeCell ref="N18:O18"/>
    <mergeCell ref="G46:H46"/>
    <mergeCell ref="N24:O24"/>
    <mergeCell ref="G45:H45"/>
    <mergeCell ref="H27:K27"/>
    <mergeCell ref="G31:H31"/>
    <mergeCell ref="A30:F30"/>
    <mergeCell ref="N4:O4"/>
    <mergeCell ref="H28:K28"/>
    <mergeCell ref="G32:H32"/>
    <mergeCell ref="N15:O15"/>
    <mergeCell ref="L23:M23"/>
    <mergeCell ref="J31:K31"/>
    <mergeCell ref="L11:M12"/>
    <mergeCell ref="N19:O19"/>
    <mergeCell ref="L20:M20"/>
    <mergeCell ref="N20:O20"/>
    <mergeCell ref="N16:O16"/>
    <mergeCell ref="L28:O28"/>
    <mergeCell ref="G30:I30"/>
    <mergeCell ref="L21:M21"/>
    <mergeCell ref="M32:N32"/>
    <mergeCell ref="N23:O23"/>
    <mergeCell ref="M30:O30"/>
    <mergeCell ref="N25:O25"/>
    <mergeCell ref="L27:M27"/>
    <mergeCell ref="L24:M24"/>
    <mergeCell ref="J32:K32"/>
    <mergeCell ref="N17:O17"/>
    <mergeCell ref="L25:M25"/>
    <mergeCell ref="M31:N31"/>
    <mergeCell ref="B21:E21"/>
    <mergeCell ref="N21:O21"/>
    <mergeCell ref="N27:O27"/>
    <mergeCell ref="N26:O26"/>
    <mergeCell ref="J30:L30"/>
    <mergeCell ref="L22:M22"/>
    <mergeCell ref="N22:O22"/>
    <mergeCell ref="L14:M14"/>
    <mergeCell ref="N9:O10"/>
    <mergeCell ref="L9:M10"/>
    <mergeCell ref="H9:K10"/>
    <mergeCell ref="B17:D17"/>
    <mergeCell ref="H11:K12"/>
    <mergeCell ref="N11:O12"/>
    <mergeCell ref="L19:M19"/>
    <mergeCell ref="L16:M16"/>
    <mergeCell ref="L18:M18"/>
    <mergeCell ref="L17:M17"/>
    <mergeCell ref="N13:O13"/>
    <mergeCell ref="L15:M15"/>
    <mergeCell ref="N14:O14"/>
    <mergeCell ref="I1:O1"/>
    <mergeCell ref="H5:K5"/>
    <mergeCell ref="H6:K6"/>
    <mergeCell ref="M2:N2"/>
    <mergeCell ref="L6:M6"/>
    <mergeCell ref="L4:M4"/>
    <mergeCell ref="H4:K4"/>
    <mergeCell ref="N6:O6"/>
    <mergeCell ref="A1:H1"/>
    <mergeCell ref="F4:G4"/>
    <mergeCell ref="L7:M7"/>
    <mergeCell ref="L13:M13"/>
    <mergeCell ref="N5:O5"/>
    <mergeCell ref="L5:M5"/>
    <mergeCell ref="N7:O7"/>
    <mergeCell ref="L8:M8"/>
    <mergeCell ref="N8:O8"/>
    <mergeCell ref="H7:K7"/>
    <mergeCell ref="G11:G12"/>
    <mergeCell ref="B11:D12"/>
    <mergeCell ref="A11:A12"/>
    <mergeCell ref="H8:K8"/>
    <mergeCell ref="B4:E4"/>
    <mergeCell ref="F11:F12"/>
    <mergeCell ref="G9:G10"/>
    <mergeCell ref="A2:B2"/>
    <mergeCell ref="F9:F10"/>
    <mergeCell ref="B9:D10"/>
    <mergeCell ref="A9:A10"/>
  </mergeCells>
  <conditionalFormatting sqref="L13:M14 N28:O28 L29:M30 N30:O30">
    <cfRule type="cellIs" priority="1" dxfId="0" operator="lessThan" stopIfTrue="1">
      <formula>0</formula>
    </cfRule>
  </conditionalFormatting>
  <conditionalFormatting sqref="L15:M28">
    <cfRule type="cellIs" priority="2" dxfId="0" operator="lessThan" stopIfTrue="1">
      <formula>0</formula>
    </cfRule>
    <cfRule type="cellIs" priority="3" dxfId="0" operator="lessThan" stopIfTrue="1">
      <formula>0</formula>
    </cfRule>
  </conditionalFormatting>
  <printOptions/>
  <pageMargins left="0.25" right="0.25" top="0.75" bottom="0.75" header="0.3" footer="0.3"/>
  <pageSetup horizontalDpi="600" verticalDpi="600" orientation="portrait" scale="66"/>
  <headerFooter alignWithMargins="0">
    <oddHeader>&amp;C000000V. ORSZÁGOS TŰZOLTÓ FAVÁGÓ VERSENY</oddHeader>
    <oddFooter>&amp;L&amp;"Helvetica,Regular"&amp;11&amp;C000000...............................................................................................&amp;R&amp;"Arial,Regular"&amp;10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/>
  </sheetPr>
  <dimension ref="A1:P46"/>
  <sheetViews>
    <sheetView showGridLines="0" workbookViewId="0" topLeftCell="A1">
      <selection activeCell="A1" sqref="A1:H1"/>
    </sheetView>
  </sheetViews>
  <sheetFormatPr defaultColWidth="8.8515625" defaultRowHeight="12" customHeight="1"/>
  <cols>
    <col min="1" max="8" width="8.8515625" style="610" customWidth="1"/>
    <col min="9" max="9" width="7.140625" style="610" customWidth="1"/>
    <col min="10" max="10" width="7.00390625" style="610" customWidth="1"/>
    <col min="11" max="12" width="7.140625" style="610" customWidth="1"/>
    <col min="13" max="16384" width="8.8515625" style="610" customWidth="1"/>
  </cols>
  <sheetData>
    <row r="1" spans="1:16" ht="45" customHeight="1" thickTop="1">
      <c r="A1" s="1002" t="s">
        <v>366</v>
      </c>
      <c r="B1" s="1003"/>
      <c r="C1" s="1003"/>
      <c r="D1" s="1003"/>
      <c r="E1" s="1003"/>
      <c r="F1" s="1003"/>
      <c r="G1" s="1003"/>
      <c r="H1" s="1004"/>
      <c r="I1" s="1005" t="s">
        <v>221</v>
      </c>
      <c r="J1" s="1006"/>
      <c r="K1" s="1006"/>
      <c r="L1" s="1007"/>
      <c r="M1" s="1007"/>
      <c r="N1" s="1006"/>
      <c r="O1" s="1006"/>
      <c r="P1" s="1008"/>
    </row>
    <row r="2" spans="1:16" ht="34.5" customHeight="1" thickBot="1">
      <c r="A2" s="1009" t="s">
        <v>347</v>
      </c>
      <c r="B2" s="1010"/>
      <c r="C2" s="611"/>
      <c r="D2" s="612"/>
      <c r="E2" s="613" t="s">
        <v>348</v>
      </c>
      <c r="F2" s="614"/>
      <c r="G2" s="615"/>
      <c r="H2" s="616"/>
      <c r="I2" s="1011" t="s">
        <v>220</v>
      </c>
      <c r="J2" s="1010"/>
      <c r="K2" s="617"/>
      <c r="L2" s="617"/>
      <c r="M2" s="617"/>
      <c r="N2" s="1012"/>
      <c r="O2" s="1012"/>
      <c r="P2" s="618"/>
    </row>
    <row r="3" spans="1:16" ht="9" customHeight="1" thickBot="1" thickTop="1">
      <c r="A3" s="619"/>
      <c r="B3" s="619"/>
      <c r="C3" s="619"/>
      <c r="D3" s="619"/>
      <c r="E3" s="619"/>
      <c r="F3" s="619"/>
      <c r="G3" s="620"/>
      <c r="H3" s="620"/>
      <c r="I3" s="1000"/>
      <c r="J3" s="1000"/>
      <c r="K3" s="1000"/>
      <c r="L3" s="1001"/>
      <c r="M3" s="1000"/>
      <c r="N3" s="621"/>
      <c r="O3" s="622"/>
      <c r="P3" s="622"/>
    </row>
    <row r="4" spans="1:16" ht="24.75" customHeight="1">
      <c r="A4" s="623" t="s">
        <v>224</v>
      </c>
      <c r="B4" s="991" t="s">
        <v>225</v>
      </c>
      <c r="C4" s="996"/>
      <c r="D4" s="996"/>
      <c r="E4" s="996"/>
      <c r="F4" s="996"/>
      <c r="G4" s="997" t="s">
        <v>280</v>
      </c>
      <c r="H4" s="998"/>
      <c r="I4" s="991" t="s">
        <v>227</v>
      </c>
      <c r="J4" s="996"/>
      <c r="K4" s="999"/>
      <c r="L4" s="624"/>
      <c r="M4" s="991" t="s">
        <v>367</v>
      </c>
      <c r="N4" s="996"/>
      <c r="O4" s="991" t="s">
        <v>368</v>
      </c>
      <c r="P4" s="992"/>
    </row>
    <row r="5" spans="1:16" ht="22.5" customHeight="1">
      <c r="A5" s="625" t="s">
        <v>281</v>
      </c>
      <c r="B5" s="976" t="s">
        <v>282</v>
      </c>
      <c r="C5" s="977"/>
      <c r="D5" s="977"/>
      <c r="E5" s="977"/>
      <c r="F5" s="993"/>
      <c r="G5" s="626"/>
      <c r="H5" s="627" t="s">
        <v>283</v>
      </c>
      <c r="I5" s="987"/>
      <c r="J5" s="987"/>
      <c r="K5" s="988"/>
      <c r="L5" s="629"/>
      <c r="M5" s="989" t="s">
        <v>369</v>
      </c>
      <c r="N5" s="994"/>
      <c r="O5" s="962"/>
      <c r="P5" s="995"/>
    </row>
    <row r="6" spans="1:16" ht="22.5" customHeight="1">
      <c r="A6" s="625" t="s">
        <v>284</v>
      </c>
      <c r="B6" s="976" t="s">
        <v>285</v>
      </c>
      <c r="C6" s="977"/>
      <c r="D6" s="977"/>
      <c r="E6" s="977"/>
      <c r="F6" s="977"/>
      <c r="G6" s="978" t="s">
        <v>247</v>
      </c>
      <c r="H6" s="979"/>
      <c r="I6" s="627" t="s">
        <v>286</v>
      </c>
      <c r="J6" s="631"/>
      <c r="K6" s="627" t="s">
        <v>287</v>
      </c>
      <c r="L6" s="632"/>
      <c r="M6" s="962"/>
      <c r="N6" s="962"/>
      <c r="O6" s="989" t="s">
        <v>369</v>
      </c>
      <c r="P6" s="990"/>
    </row>
    <row r="7" spans="1:16" ht="22.5" customHeight="1">
      <c r="A7" s="625" t="s">
        <v>232</v>
      </c>
      <c r="B7" s="976" t="s">
        <v>288</v>
      </c>
      <c r="C7" s="977"/>
      <c r="D7" s="977"/>
      <c r="E7" s="977"/>
      <c r="F7" s="977"/>
      <c r="G7" s="978" t="s">
        <v>247</v>
      </c>
      <c r="H7" s="979"/>
      <c r="I7" s="627" t="s">
        <v>286</v>
      </c>
      <c r="J7" s="631"/>
      <c r="K7" s="627" t="s">
        <v>287</v>
      </c>
      <c r="L7" s="632"/>
      <c r="M7" s="962"/>
      <c r="N7" s="962"/>
      <c r="O7" s="989" t="s">
        <v>369</v>
      </c>
      <c r="P7" s="990"/>
    </row>
    <row r="8" spans="1:16" ht="22.5" customHeight="1">
      <c r="A8" s="625" t="s">
        <v>289</v>
      </c>
      <c r="B8" s="976" t="s">
        <v>290</v>
      </c>
      <c r="C8" s="977"/>
      <c r="D8" s="977"/>
      <c r="E8" s="977"/>
      <c r="F8" s="977"/>
      <c r="G8" s="978" t="s">
        <v>247</v>
      </c>
      <c r="H8" s="979"/>
      <c r="I8" s="627" t="s">
        <v>286</v>
      </c>
      <c r="J8" s="631"/>
      <c r="K8" s="627" t="s">
        <v>287</v>
      </c>
      <c r="L8" s="632"/>
      <c r="M8" s="962"/>
      <c r="N8" s="962"/>
      <c r="O8" s="989" t="s">
        <v>369</v>
      </c>
      <c r="P8" s="990"/>
    </row>
    <row r="9" spans="1:16" ht="22.5" customHeight="1">
      <c r="A9" s="625" t="s">
        <v>284</v>
      </c>
      <c r="B9" s="976" t="s">
        <v>291</v>
      </c>
      <c r="C9" s="977"/>
      <c r="D9" s="977"/>
      <c r="E9" s="977"/>
      <c r="F9" s="977"/>
      <c r="G9" s="978" t="s">
        <v>247</v>
      </c>
      <c r="H9" s="979"/>
      <c r="I9" s="627" t="s">
        <v>286</v>
      </c>
      <c r="J9" s="631"/>
      <c r="K9" s="627" t="s">
        <v>287</v>
      </c>
      <c r="L9" s="632"/>
      <c r="M9" s="962"/>
      <c r="N9" s="962"/>
      <c r="O9" s="989" t="s">
        <v>369</v>
      </c>
      <c r="P9" s="990"/>
    </row>
    <row r="10" spans="1:16" ht="22.5" customHeight="1">
      <c r="A10" s="625" t="s">
        <v>284</v>
      </c>
      <c r="B10" s="976" t="s">
        <v>292</v>
      </c>
      <c r="C10" s="977"/>
      <c r="D10" s="977"/>
      <c r="E10" s="977"/>
      <c r="F10" s="977"/>
      <c r="G10" s="978" t="s">
        <v>247</v>
      </c>
      <c r="H10" s="979"/>
      <c r="I10" s="627" t="s">
        <v>286</v>
      </c>
      <c r="J10" s="631"/>
      <c r="K10" s="627" t="s">
        <v>287</v>
      </c>
      <c r="L10" s="632"/>
      <c r="M10" s="962"/>
      <c r="N10" s="962"/>
      <c r="O10" s="989" t="s">
        <v>369</v>
      </c>
      <c r="P10" s="990"/>
    </row>
    <row r="11" spans="1:16" ht="22.5" customHeight="1">
      <c r="A11" s="625" t="s">
        <v>284</v>
      </c>
      <c r="B11" s="976" t="s">
        <v>252</v>
      </c>
      <c r="C11" s="977"/>
      <c r="D11" s="977"/>
      <c r="E11" s="977"/>
      <c r="F11" s="977"/>
      <c r="G11" s="978" t="s">
        <v>247</v>
      </c>
      <c r="H11" s="979"/>
      <c r="I11" s="627" t="s">
        <v>286</v>
      </c>
      <c r="J11" s="631"/>
      <c r="K11" s="627" t="s">
        <v>287</v>
      </c>
      <c r="L11" s="632"/>
      <c r="M11" s="962"/>
      <c r="N11" s="962"/>
      <c r="O11" s="989" t="s">
        <v>369</v>
      </c>
      <c r="P11" s="990"/>
    </row>
    <row r="12" spans="1:16" ht="22.5" customHeight="1">
      <c r="A12" s="625" t="s">
        <v>289</v>
      </c>
      <c r="B12" s="976" t="s">
        <v>264</v>
      </c>
      <c r="C12" s="977"/>
      <c r="D12" s="977"/>
      <c r="E12" s="977"/>
      <c r="F12" s="977"/>
      <c r="G12" s="633">
        <v>0</v>
      </c>
      <c r="H12" s="627" t="s">
        <v>256</v>
      </c>
      <c r="I12" s="987"/>
      <c r="J12" s="987"/>
      <c r="K12" s="988"/>
      <c r="L12" s="629"/>
      <c r="M12" s="962"/>
      <c r="N12" s="962"/>
      <c r="O12" s="989" t="s">
        <v>369</v>
      </c>
      <c r="P12" s="990"/>
    </row>
    <row r="13" spans="1:16" ht="22.5" customHeight="1">
      <c r="A13" s="625" t="s">
        <v>284</v>
      </c>
      <c r="B13" s="976" t="s">
        <v>265</v>
      </c>
      <c r="C13" s="977"/>
      <c r="D13" s="977"/>
      <c r="E13" s="977"/>
      <c r="F13" s="977"/>
      <c r="G13" s="633">
        <v>0</v>
      </c>
      <c r="H13" s="627" t="s">
        <v>256</v>
      </c>
      <c r="I13" s="987"/>
      <c r="J13" s="987"/>
      <c r="K13" s="988"/>
      <c r="L13" s="629"/>
      <c r="M13" s="962"/>
      <c r="N13" s="962"/>
      <c r="O13" s="989" t="s">
        <v>369</v>
      </c>
      <c r="P13" s="990"/>
    </row>
    <row r="14" spans="1:16" ht="22.5" customHeight="1" thickBot="1">
      <c r="A14" s="625" t="s">
        <v>232</v>
      </c>
      <c r="B14" s="976" t="s">
        <v>293</v>
      </c>
      <c r="C14" s="977"/>
      <c r="D14" s="977"/>
      <c r="E14" s="977"/>
      <c r="F14" s="977"/>
      <c r="G14" s="978" t="s">
        <v>247</v>
      </c>
      <c r="H14" s="979"/>
      <c r="I14" s="627" t="s">
        <v>286</v>
      </c>
      <c r="J14" s="631"/>
      <c r="K14" s="627" t="s">
        <v>287</v>
      </c>
      <c r="L14" s="628"/>
      <c r="M14" s="980"/>
      <c r="N14" s="980"/>
      <c r="O14" s="981" t="s">
        <v>369</v>
      </c>
      <c r="P14" s="982"/>
    </row>
    <row r="15" spans="1:16" ht="31.5" customHeight="1" thickBot="1">
      <c r="A15" s="634"/>
      <c r="B15" s="635"/>
      <c r="C15" s="636"/>
      <c r="D15" s="636"/>
      <c r="E15" s="636"/>
      <c r="F15" s="636"/>
      <c r="G15" s="983" t="s">
        <v>266</v>
      </c>
      <c r="H15" s="984"/>
      <c r="I15" s="984"/>
      <c r="J15" s="984"/>
      <c r="K15" s="985"/>
      <c r="L15" s="986"/>
      <c r="M15" s="969"/>
      <c r="N15" s="970"/>
      <c r="O15" s="970"/>
      <c r="P15" s="971"/>
    </row>
    <row r="16" spans="1:16" ht="34.5" customHeight="1" thickBot="1">
      <c r="A16" s="637" t="s">
        <v>281</v>
      </c>
      <c r="B16" s="638"/>
      <c r="C16" s="639"/>
      <c r="D16" s="639"/>
      <c r="E16" s="639"/>
      <c r="F16" s="639"/>
      <c r="G16" s="965" t="s">
        <v>267</v>
      </c>
      <c r="H16" s="966"/>
      <c r="I16" s="966"/>
      <c r="J16" s="966"/>
      <c r="K16" s="967"/>
      <c r="L16" s="968"/>
      <c r="M16" s="969"/>
      <c r="N16" s="970"/>
      <c r="O16" s="970"/>
      <c r="P16" s="971"/>
    </row>
    <row r="17" spans="1:16" ht="15" customHeight="1">
      <c r="A17" s="640" t="s">
        <v>294</v>
      </c>
      <c r="B17" s="641"/>
      <c r="C17" s="642"/>
      <c r="D17" s="642"/>
      <c r="E17" s="642"/>
      <c r="F17" s="642"/>
      <c r="G17" s="643"/>
      <c r="H17" s="643"/>
      <c r="I17" s="644"/>
      <c r="J17" s="644"/>
      <c r="K17" s="644"/>
      <c r="L17" s="644"/>
      <c r="M17" s="644"/>
      <c r="N17" s="644"/>
      <c r="O17" s="644"/>
      <c r="P17" s="645"/>
    </row>
    <row r="18" spans="1:16" ht="15" customHeight="1">
      <c r="A18" s="646"/>
      <c r="B18" s="647"/>
      <c r="C18" s="647"/>
      <c r="D18" s="647"/>
      <c r="E18" s="647"/>
      <c r="F18" s="647"/>
      <c r="G18" s="648"/>
      <c r="H18" s="649"/>
      <c r="I18" s="649"/>
      <c r="J18" s="649"/>
      <c r="K18" s="649"/>
      <c r="L18" s="649"/>
      <c r="M18" s="649"/>
      <c r="N18" s="649"/>
      <c r="O18" s="650"/>
      <c r="P18" s="650"/>
    </row>
    <row r="19" spans="1:16" ht="12.75" customHeight="1">
      <c r="A19" s="972" t="s">
        <v>282</v>
      </c>
      <c r="B19" s="973"/>
      <c r="C19" s="973"/>
      <c r="D19" s="973"/>
      <c r="E19" s="973"/>
      <c r="F19" s="973"/>
      <c r="G19" s="973"/>
      <c r="H19" s="973"/>
      <c r="I19" s="973"/>
      <c r="J19" s="973"/>
      <c r="K19" s="973"/>
      <c r="L19" s="974"/>
      <c r="M19" s="973"/>
      <c r="N19" s="973"/>
      <c r="O19" s="973"/>
      <c r="P19" s="973"/>
    </row>
    <row r="20" spans="1:16" ht="12.75" customHeight="1">
      <c r="A20" s="963" t="s">
        <v>283</v>
      </c>
      <c r="B20" s="964"/>
      <c r="C20" s="651" t="s">
        <v>224</v>
      </c>
      <c r="D20" s="963" t="s">
        <v>283</v>
      </c>
      <c r="E20" s="964"/>
      <c r="F20" s="651" t="s">
        <v>224</v>
      </c>
      <c r="G20" s="963" t="s">
        <v>283</v>
      </c>
      <c r="H20" s="964"/>
      <c r="I20" s="651" t="s">
        <v>224</v>
      </c>
      <c r="J20" s="963" t="s">
        <v>283</v>
      </c>
      <c r="K20" s="975"/>
      <c r="L20" s="652"/>
      <c r="M20" s="653" t="s">
        <v>224</v>
      </c>
      <c r="N20" s="963" t="s">
        <v>283</v>
      </c>
      <c r="O20" s="964"/>
      <c r="P20" s="654" t="s">
        <v>224</v>
      </c>
    </row>
    <row r="21" spans="1:16" ht="12.75" customHeight="1">
      <c r="A21" s="960" t="s">
        <v>363</v>
      </c>
      <c r="B21" s="961"/>
      <c r="C21" s="655" t="s">
        <v>363</v>
      </c>
      <c r="D21" s="963" t="s">
        <v>370</v>
      </c>
      <c r="E21" s="964"/>
      <c r="F21" s="656">
        <v>100</v>
      </c>
      <c r="G21" s="960" t="s">
        <v>371</v>
      </c>
      <c r="H21" s="961"/>
      <c r="I21" s="657">
        <v>75</v>
      </c>
      <c r="J21" s="960" t="s">
        <v>372</v>
      </c>
      <c r="K21" s="962"/>
      <c r="L21" s="630"/>
      <c r="M21" s="658">
        <v>50</v>
      </c>
      <c r="N21" s="960" t="s">
        <v>373</v>
      </c>
      <c r="O21" s="961"/>
      <c r="P21" s="657">
        <v>25</v>
      </c>
    </row>
    <row r="22" spans="1:16" ht="12.75" customHeight="1">
      <c r="A22" s="960" t="s">
        <v>363</v>
      </c>
      <c r="B22" s="961"/>
      <c r="C22" s="655" t="s">
        <v>363</v>
      </c>
      <c r="D22" s="960" t="s">
        <v>374</v>
      </c>
      <c r="E22" s="961"/>
      <c r="F22" s="657">
        <v>99</v>
      </c>
      <c r="G22" s="960" t="s">
        <v>375</v>
      </c>
      <c r="H22" s="961"/>
      <c r="I22" s="657">
        <v>74</v>
      </c>
      <c r="J22" s="960" t="s">
        <v>376</v>
      </c>
      <c r="K22" s="962"/>
      <c r="L22" s="630"/>
      <c r="M22" s="658">
        <v>49</v>
      </c>
      <c r="N22" s="960" t="s">
        <v>377</v>
      </c>
      <c r="O22" s="961"/>
      <c r="P22" s="657">
        <v>24</v>
      </c>
    </row>
    <row r="23" spans="1:16" ht="12.75" customHeight="1">
      <c r="A23" s="960" t="s">
        <v>363</v>
      </c>
      <c r="B23" s="961"/>
      <c r="C23" s="655" t="s">
        <v>363</v>
      </c>
      <c r="D23" s="960" t="s">
        <v>378</v>
      </c>
      <c r="E23" s="961"/>
      <c r="F23" s="657">
        <v>98</v>
      </c>
      <c r="G23" s="960" t="s">
        <v>379</v>
      </c>
      <c r="H23" s="961"/>
      <c r="I23" s="657">
        <v>73</v>
      </c>
      <c r="J23" s="960" t="s">
        <v>380</v>
      </c>
      <c r="K23" s="962"/>
      <c r="L23" s="630"/>
      <c r="M23" s="658">
        <v>48</v>
      </c>
      <c r="N23" s="960" t="s">
        <v>381</v>
      </c>
      <c r="O23" s="961"/>
      <c r="P23" s="657">
        <v>23</v>
      </c>
    </row>
    <row r="24" spans="1:16" ht="12.75" customHeight="1">
      <c r="A24" s="960" t="s">
        <v>382</v>
      </c>
      <c r="B24" s="961"/>
      <c r="C24" s="657">
        <v>144</v>
      </c>
      <c r="D24" s="960" t="s">
        <v>383</v>
      </c>
      <c r="E24" s="961"/>
      <c r="F24" s="657">
        <v>97</v>
      </c>
      <c r="G24" s="960" t="s">
        <v>384</v>
      </c>
      <c r="H24" s="961"/>
      <c r="I24" s="657">
        <v>72</v>
      </c>
      <c r="J24" s="960" t="s">
        <v>385</v>
      </c>
      <c r="K24" s="962"/>
      <c r="L24" s="630"/>
      <c r="M24" s="658">
        <v>47</v>
      </c>
      <c r="N24" s="960" t="s">
        <v>386</v>
      </c>
      <c r="O24" s="961"/>
      <c r="P24" s="657">
        <v>22</v>
      </c>
    </row>
    <row r="25" spans="1:16" ht="12.75" customHeight="1">
      <c r="A25" s="960" t="s">
        <v>387</v>
      </c>
      <c r="B25" s="961"/>
      <c r="C25" s="657">
        <v>142</v>
      </c>
      <c r="D25" s="960" t="s">
        <v>388</v>
      </c>
      <c r="E25" s="961"/>
      <c r="F25" s="657">
        <v>96</v>
      </c>
      <c r="G25" s="960" t="s">
        <v>389</v>
      </c>
      <c r="H25" s="961"/>
      <c r="I25" s="657">
        <v>71</v>
      </c>
      <c r="J25" s="960" t="s">
        <v>390</v>
      </c>
      <c r="K25" s="962"/>
      <c r="L25" s="630"/>
      <c r="M25" s="658">
        <v>46</v>
      </c>
      <c r="N25" s="960" t="s">
        <v>391</v>
      </c>
      <c r="O25" s="961"/>
      <c r="P25" s="657">
        <v>21</v>
      </c>
    </row>
    <row r="26" spans="1:16" ht="12.75" customHeight="1">
      <c r="A26" s="960" t="s">
        <v>392</v>
      </c>
      <c r="B26" s="961"/>
      <c r="C26" s="657">
        <v>140</v>
      </c>
      <c r="D26" s="960" t="s">
        <v>393</v>
      </c>
      <c r="E26" s="961"/>
      <c r="F26" s="657">
        <v>95</v>
      </c>
      <c r="G26" s="960" t="s">
        <v>394</v>
      </c>
      <c r="H26" s="961"/>
      <c r="I26" s="657">
        <v>70</v>
      </c>
      <c r="J26" s="960" t="s">
        <v>395</v>
      </c>
      <c r="K26" s="962"/>
      <c r="L26" s="630"/>
      <c r="M26" s="658">
        <v>45</v>
      </c>
      <c r="N26" s="960" t="s">
        <v>396</v>
      </c>
      <c r="O26" s="961"/>
      <c r="P26" s="657">
        <v>20</v>
      </c>
    </row>
    <row r="27" spans="1:16" ht="12.75" customHeight="1">
      <c r="A27" s="960" t="s">
        <v>397</v>
      </c>
      <c r="B27" s="961"/>
      <c r="C27" s="657">
        <v>138</v>
      </c>
      <c r="D27" s="960" t="s">
        <v>398</v>
      </c>
      <c r="E27" s="961"/>
      <c r="F27" s="657">
        <v>94</v>
      </c>
      <c r="G27" s="960" t="s">
        <v>399</v>
      </c>
      <c r="H27" s="961"/>
      <c r="I27" s="657">
        <v>69</v>
      </c>
      <c r="J27" s="960" t="s">
        <v>400</v>
      </c>
      <c r="K27" s="962"/>
      <c r="L27" s="630"/>
      <c r="M27" s="658">
        <v>44</v>
      </c>
      <c r="N27" s="960" t="s">
        <v>401</v>
      </c>
      <c r="O27" s="961"/>
      <c r="P27" s="657">
        <v>19</v>
      </c>
    </row>
    <row r="28" spans="1:16" ht="12.75" customHeight="1">
      <c r="A28" s="960" t="s">
        <v>402</v>
      </c>
      <c r="B28" s="961"/>
      <c r="C28" s="657">
        <v>136</v>
      </c>
      <c r="D28" s="960" t="s">
        <v>403</v>
      </c>
      <c r="E28" s="961"/>
      <c r="F28" s="657">
        <v>93</v>
      </c>
      <c r="G28" s="960" t="s">
        <v>404</v>
      </c>
      <c r="H28" s="961"/>
      <c r="I28" s="657">
        <v>68</v>
      </c>
      <c r="J28" s="960" t="s">
        <v>405</v>
      </c>
      <c r="K28" s="962"/>
      <c r="L28" s="630"/>
      <c r="M28" s="658">
        <v>43</v>
      </c>
      <c r="N28" s="960" t="s">
        <v>406</v>
      </c>
      <c r="O28" s="961"/>
      <c r="P28" s="657">
        <v>18</v>
      </c>
    </row>
    <row r="29" spans="1:16" ht="12.75" customHeight="1">
      <c r="A29" s="960" t="s">
        <v>407</v>
      </c>
      <c r="B29" s="961"/>
      <c r="C29" s="657">
        <v>134</v>
      </c>
      <c r="D29" s="960" t="s">
        <v>408</v>
      </c>
      <c r="E29" s="961"/>
      <c r="F29" s="657">
        <v>92</v>
      </c>
      <c r="G29" s="960" t="s">
        <v>409</v>
      </c>
      <c r="H29" s="961"/>
      <c r="I29" s="657">
        <v>67</v>
      </c>
      <c r="J29" s="960" t="s">
        <v>410</v>
      </c>
      <c r="K29" s="962"/>
      <c r="L29" s="630"/>
      <c r="M29" s="658">
        <v>42</v>
      </c>
      <c r="N29" s="960" t="s">
        <v>411</v>
      </c>
      <c r="O29" s="961"/>
      <c r="P29" s="657">
        <v>17</v>
      </c>
    </row>
    <row r="30" spans="1:16" ht="12.75" customHeight="1">
      <c r="A30" s="960" t="s">
        <v>412</v>
      </c>
      <c r="B30" s="961"/>
      <c r="C30" s="657">
        <v>132</v>
      </c>
      <c r="D30" s="960" t="s">
        <v>413</v>
      </c>
      <c r="E30" s="961"/>
      <c r="F30" s="657">
        <v>91</v>
      </c>
      <c r="G30" s="960" t="s">
        <v>414</v>
      </c>
      <c r="H30" s="961"/>
      <c r="I30" s="657">
        <v>66</v>
      </c>
      <c r="J30" s="960" t="s">
        <v>415</v>
      </c>
      <c r="K30" s="962"/>
      <c r="L30" s="630"/>
      <c r="M30" s="658">
        <v>41</v>
      </c>
      <c r="N30" s="960" t="s">
        <v>416</v>
      </c>
      <c r="O30" s="961"/>
      <c r="P30" s="657">
        <v>16</v>
      </c>
    </row>
    <row r="31" spans="1:16" ht="12.75" customHeight="1">
      <c r="A31" s="960" t="s">
        <v>417</v>
      </c>
      <c r="B31" s="961"/>
      <c r="C31" s="657">
        <v>130</v>
      </c>
      <c r="D31" s="960" t="s">
        <v>418</v>
      </c>
      <c r="E31" s="961"/>
      <c r="F31" s="657">
        <v>90</v>
      </c>
      <c r="G31" s="960" t="s">
        <v>419</v>
      </c>
      <c r="H31" s="961"/>
      <c r="I31" s="657">
        <v>65</v>
      </c>
      <c r="J31" s="960" t="s">
        <v>420</v>
      </c>
      <c r="K31" s="962"/>
      <c r="L31" s="630"/>
      <c r="M31" s="658">
        <v>40</v>
      </c>
      <c r="N31" s="960" t="s">
        <v>421</v>
      </c>
      <c r="O31" s="961"/>
      <c r="P31" s="657">
        <v>15</v>
      </c>
    </row>
    <row r="32" spans="1:16" ht="12.75" customHeight="1">
      <c r="A32" s="960" t="s">
        <v>422</v>
      </c>
      <c r="B32" s="961"/>
      <c r="C32" s="657">
        <v>128</v>
      </c>
      <c r="D32" s="960" t="s">
        <v>423</v>
      </c>
      <c r="E32" s="961"/>
      <c r="F32" s="657">
        <v>89</v>
      </c>
      <c r="G32" s="960" t="s">
        <v>424</v>
      </c>
      <c r="H32" s="961"/>
      <c r="I32" s="657">
        <v>64</v>
      </c>
      <c r="J32" s="960" t="s">
        <v>425</v>
      </c>
      <c r="K32" s="962"/>
      <c r="L32" s="630"/>
      <c r="M32" s="658">
        <v>39</v>
      </c>
      <c r="N32" s="960" t="s">
        <v>426</v>
      </c>
      <c r="O32" s="961"/>
      <c r="P32" s="657">
        <v>14</v>
      </c>
    </row>
    <row r="33" spans="1:16" ht="12.75" customHeight="1">
      <c r="A33" s="960" t="s">
        <v>427</v>
      </c>
      <c r="B33" s="961"/>
      <c r="C33" s="657">
        <v>126</v>
      </c>
      <c r="D33" s="960" t="s">
        <v>428</v>
      </c>
      <c r="E33" s="961"/>
      <c r="F33" s="657">
        <v>88</v>
      </c>
      <c r="G33" s="960" t="s">
        <v>429</v>
      </c>
      <c r="H33" s="961"/>
      <c r="I33" s="657">
        <v>63</v>
      </c>
      <c r="J33" s="960" t="s">
        <v>430</v>
      </c>
      <c r="K33" s="962"/>
      <c r="L33" s="630"/>
      <c r="M33" s="658">
        <v>38</v>
      </c>
      <c r="N33" s="960" t="s">
        <v>431</v>
      </c>
      <c r="O33" s="961"/>
      <c r="P33" s="657">
        <v>13</v>
      </c>
    </row>
    <row r="34" spans="1:16" ht="12.75" customHeight="1">
      <c r="A34" s="960" t="s">
        <v>432</v>
      </c>
      <c r="B34" s="961"/>
      <c r="C34" s="657">
        <v>124</v>
      </c>
      <c r="D34" s="960" t="s">
        <v>433</v>
      </c>
      <c r="E34" s="961"/>
      <c r="F34" s="657">
        <v>87</v>
      </c>
      <c r="G34" s="960" t="s">
        <v>434</v>
      </c>
      <c r="H34" s="961"/>
      <c r="I34" s="657">
        <v>62</v>
      </c>
      <c r="J34" s="960" t="s">
        <v>435</v>
      </c>
      <c r="K34" s="962"/>
      <c r="L34" s="630"/>
      <c r="M34" s="658">
        <v>37</v>
      </c>
      <c r="N34" s="960" t="s">
        <v>436</v>
      </c>
      <c r="O34" s="961"/>
      <c r="P34" s="657">
        <v>12</v>
      </c>
    </row>
    <row r="35" spans="1:16" ht="12.75" customHeight="1">
      <c r="A35" s="960" t="s">
        <v>437</v>
      </c>
      <c r="B35" s="961"/>
      <c r="C35" s="657">
        <v>122</v>
      </c>
      <c r="D35" s="960" t="s">
        <v>438</v>
      </c>
      <c r="E35" s="961"/>
      <c r="F35" s="657">
        <v>86</v>
      </c>
      <c r="G35" s="960" t="s">
        <v>439</v>
      </c>
      <c r="H35" s="961"/>
      <c r="I35" s="657">
        <v>61</v>
      </c>
      <c r="J35" s="960" t="s">
        <v>440</v>
      </c>
      <c r="K35" s="962"/>
      <c r="L35" s="630"/>
      <c r="M35" s="658">
        <v>36</v>
      </c>
      <c r="N35" s="960" t="s">
        <v>441</v>
      </c>
      <c r="O35" s="961"/>
      <c r="P35" s="657">
        <v>11</v>
      </c>
    </row>
    <row r="36" spans="1:16" ht="12.75" customHeight="1">
      <c r="A36" s="960" t="s">
        <v>442</v>
      </c>
      <c r="B36" s="961"/>
      <c r="C36" s="657">
        <v>120</v>
      </c>
      <c r="D36" s="960" t="s">
        <v>443</v>
      </c>
      <c r="E36" s="961"/>
      <c r="F36" s="657">
        <v>85</v>
      </c>
      <c r="G36" s="960" t="s">
        <v>444</v>
      </c>
      <c r="H36" s="961"/>
      <c r="I36" s="657">
        <v>60</v>
      </c>
      <c r="J36" s="960" t="s">
        <v>445</v>
      </c>
      <c r="K36" s="962"/>
      <c r="L36" s="630"/>
      <c r="M36" s="658">
        <v>35</v>
      </c>
      <c r="N36" s="960" t="s">
        <v>446</v>
      </c>
      <c r="O36" s="961"/>
      <c r="P36" s="657">
        <v>10</v>
      </c>
    </row>
    <row r="37" spans="1:16" ht="12.75" customHeight="1">
      <c r="A37" s="960" t="s">
        <v>447</v>
      </c>
      <c r="B37" s="961"/>
      <c r="C37" s="657">
        <v>118</v>
      </c>
      <c r="D37" s="960" t="s">
        <v>448</v>
      </c>
      <c r="E37" s="961"/>
      <c r="F37" s="657">
        <v>84</v>
      </c>
      <c r="G37" s="960" t="s">
        <v>449</v>
      </c>
      <c r="H37" s="961"/>
      <c r="I37" s="657">
        <v>59</v>
      </c>
      <c r="J37" s="960" t="s">
        <v>450</v>
      </c>
      <c r="K37" s="962"/>
      <c r="L37" s="630"/>
      <c r="M37" s="658">
        <v>34</v>
      </c>
      <c r="N37" s="960" t="s">
        <v>451</v>
      </c>
      <c r="O37" s="961"/>
      <c r="P37" s="657">
        <v>9</v>
      </c>
    </row>
    <row r="38" spans="1:16" ht="12.75" customHeight="1">
      <c r="A38" s="960" t="s">
        <v>452</v>
      </c>
      <c r="B38" s="961"/>
      <c r="C38" s="657">
        <v>116</v>
      </c>
      <c r="D38" s="960" t="s">
        <v>453</v>
      </c>
      <c r="E38" s="961"/>
      <c r="F38" s="657">
        <v>83</v>
      </c>
      <c r="G38" s="960" t="s">
        <v>454</v>
      </c>
      <c r="H38" s="961"/>
      <c r="I38" s="657">
        <v>58</v>
      </c>
      <c r="J38" s="960" t="s">
        <v>455</v>
      </c>
      <c r="K38" s="962"/>
      <c r="L38" s="630"/>
      <c r="M38" s="658">
        <v>33</v>
      </c>
      <c r="N38" s="960" t="s">
        <v>456</v>
      </c>
      <c r="O38" s="961"/>
      <c r="P38" s="657">
        <v>8</v>
      </c>
    </row>
    <row r="39" spans="1:16" ht="12.75" customHeight="1">
      <c r="A39" s="960" t="s">
        <v>457</v>
      </c>
      <c r="B39" s="961"/>
      <c r="C39" s="657">
        <v>114</v>
      </c>
      <c r="D39" s="960" t="s">
        <v>458</v>
      </c>
      <c r="E39" s="961"/>
      <c r="F39" s="657">
        <v>82</v>
      </c>
      <c r="G39" s="960" t="s">
        <v>459</v>
      </c>
      <c r="H39" s="961"/>
      <c r="I39" s="657">
        <v>57</v>
      </c>
      <c r="J39" s="960" t="s">
        <v>460</v>
      </c>
      <c r="K39" s="962"/>
      <c r="L39" s="630"/>
      <c r="M39" s="658">
        <v>32</v>
      </c>
      <c r="N39" s="960" t="s">
        <v>461</v>
      </c>
      <c r="O39" s="961"/>
      <c r="P39" s="657">
        <v>7</v>
      </c>
    </row>
    <row r="40" spans="1:16" ht="12.75" customHeight="1">
      <c r="A40" s="960" t="s">
        <v>462</v>
      </c>
      <c r="B40" s="961"/>
      <c r="C40" s="657">
        <v>112</v>
      </c>
      <c r="D40" s="960" t="s">
        <v>463</v>
      </c>
      <c r="E40" s="961"/>
      <c r="F40" s="657">
        <v>81</v>
      </c>
      <c r="G40" s="960" t="s">
        <v>464</v>
      </c>
      <c r="H40" s="961"/>
      <c r="I40" s="657">
        <v>56</v>
      </c>
      <c r="J40" s="960" t="s">
        <v>465</v>
      </c>
      <c r="K40" s="962"/>
      <c r="L40" s="630"/>
      <c r="M40" s="658">
        <v>31</v>
      </c>
      <c r="N40" s="960" t="s">
        <v>466</v>
      </c>
      <c r="O40" s="961"/>
      <c r="P40" s="657">
        <v>6</v>
      </c>
    </row>
    <row r="41" spans="1:16" ht="12.75" customHeight="1">
      <c r="A41" s="960" t="s">
        <v>467</v>
      </c>
      <c r="B41" s="961"/>
      <c r="C41" s="657">
        <v>110</v>
      </c>
      <c r="D41" s="960" t="s">
        <v>468</v>
      </c>
      <c r="E41" s="961"/>
      <c r="F41" s="657">
        <v>80</v>
      </c>
      <c r="G41" s="960" t="s">
        <v>469</v>
      </c>
      <c r="H41" s="961"/>
      <c r="I41" s="657">
        <v>55</v>
      </c>
      <c r="J41" s="960" t="s">
        <v>470</v>
      </c>
      <c r="K41" s="962"/>
      <c r="L41" s="630"/>
      <c r="M41" s="658">
        <v>30</v>
      </c>
      <c r="N41" s="960" t="s">
        <v>471</v>
      </c>
      <c r="O41" s="961"/>
      <c r="P41" s="657">
        <v>5</v>
      </c>
    </row>
    <row r="42" spans="1:16" ht="12.75" customHeight="1">
      <c r="A42" s="960" t="s">
        <v>472</v>
      </c>
      <c r="B42" s="961"/>
      <c r="C42" s="657">
        <v>108</v>
      </c>
      <c r="D42" s="960" t="s">
        <v>473</v>
      </c>
      <c r="E42" s="961"/>
      <c r="F42" s="657">
        <v>79</v>
      </c>
      <c r="G42" s="960" t="s">
        <v>474</v>
      </c>
      <c r="H42" s="961"/>
      <c r="I42" s="657">
        <v>54</v>
      </c>
      <c r="J42" s="960" t="s">
        <v>475</v>
      </c>
      <c r="K42" s="962"/>
      <c r="L42" s="630"/>
      <c r="M42" s="658">
        <v>29</v>
      </c>
      <c r="N42" s="960" t="s">
        <v>476</v>
      </c>
      <c r="O42" s="961"/>
      <c r="P42" s="657">
        <v>4</v>
      </c>
    </row>
    <row r="43" spans="1:16" ht="12.75" customHeight="1">
      <c r="A43" s="960" t="s">
        <v>477</v>
      </c>
      <c r="B43" s="961"/>
      <c r="C43" s="657">
        <v>106</v>
      </c>
      <c r="D43" s="960" t="s">
        <v>478</v>
      </c>
      <c r="E43" s="961"/>
      <c r="F43" s="657">
        <v>78</v>
      </c>
      <c r="G43" s="960" t="s">
        <v>479</v>
      </c>
      <c r="H43" s="961"/>
      <c r="I43" s="657">
        <v>53</v>
      </c>
      <c r="J43" s="960" t="s">
        <v>480</v>
      </c>
      <c r="K43" s="962"/>
      <c r="L43" s="630"/>
      <c r="M43" s="658">
        <v>28</v>
      </c>
      <c r="N43" s="960" t="s">
        <v>481</v>
      </c>
      <c r="O43" s="961"/>
      <c r="P43" s="657">
        <v>3</v>
      </c>
    </row>
    <row r="44" spans="1:16" ht="12.75" customHeight="1">
      <c r="A44" s="960" t="s">
        <v>482</v>
      </c>
      <c r="B44" s="961"/>
      <c r="C44" s="657">
        <v>104</v>
      </c>
      <c r="D44" s="960" t="s">
        <v>483</v>
      </c>
      <c r="E44" s="961"/>
      <c r="F44" s="657">
        <v>77</v>
      </c>
      <c r="G44" s="960" t="s">
        <v>484</v>
      </c>
      <c r="H44" s="961"/>
      <c r="I44" s="657">
        <v>52</v>
      </c>
      <c r="J44" s="960" t="s">
        <v>485</v>
      </c>
      <c r="K44" s="962"/>
      <c r="L44" s="630"/>
      <c r="M44" s="658">
        <v>27</v>
      </c>
      <c r="N44" s="960" t="s">
        <v>486</v>
      </c>
      <c r="O44" s="961"/>
      <c r="P44" s="657">
        <v>2</v>
      </c>
    </row>
    <row r="45" spans="1:16" ht="12.75" customHeight="1">
      <c r="A45" s="960" t="s">
        <v>487</v>
      </c>
      <c r="B45" s="961"/>
      <c r="C45" s="657">
        <v>102</v>
      </c>
      <c r="D45" s="960" t="s">
        <v>488</v>
      </c>
      <c r="E45" s="961"/>
      <c r="F45" s="657">
        <v>76</v>
      </c>
      <c r="G45" s="960" t="s">
        <v>489</v>
      </c>
      <c r="H45" s="961"/>
      <c r="I45" s="657">
        <v>51</v>
      </c>
      <c r="J45" s="960" t="s">
        <v>490</v>
      </c>
      <c r="K45" s="962"/>
      <c r="L45" s="630"/>
      <c r="M45" s="658">
        <v>26</v>
      </c>
      <c r="N45" s="960" t="s">
        <v>491</v>
      </c>
      <c r="O45" s="961"/>
      <c r="P45" s="657">
        <v>1</v>
      </c>
    </row>
    <row r="46" spans="1:16" ht="13.5" customHeight="1">
      <c r="A46" s="659"/>
      <c r="B46" s="660"/>
      <c r="C46" s="660"/>
      <c r="D46" s="660"/>
      <c r="E46" s="660"/>
      <c r="F46" s="660"/>
      <c r="G46" s="661"/>
      <c r="H46" s="662"/>
      <c r="I46" s="663"/>
      <c r="J46" s="663"/>
      <c r="K46" s="663"/>
      <c r="L46" s="663"/>
      <c r="M46" s="664"/>
      <c r="N46" s="960" t="s">
        <v>492</v>
      </c>
      <c r="O46" s="961"/>
      <c r="P46" s="657">
        <v>0</v>
      </c>
    </row>
  </sheetData>
  <sheetProtection password="E074" sheet="1" objects="1" scenarios="1"/>
  <mergeCells count="188">
    <mergeCell ref="I3:M3"/>
    <mergeCell ref="A1:H1"/>
    <mergeCell ref="I1:P1"/>
    <mergeCell ref="A2:B2"/>
    <mergeCell ref="I2:J2"/>
    <mergeCell ref="N2:O2"/>
    <mergeCell ref="O4:P4"/>
    <mergeCell ref="B5:F5"/>
    <mergeCell ref="I5:K5"/>
    <mergeCell ref="M5:N5"/>
    <mergeCell ref="O5:P5"/>
    <mergeCell ref="B4:F4"/>
    <mergeCell ref="G4:H4"/>
    <mergeCell ref="I4:K4"/>
    <mergeCell ref="M4:N4"/>
    <mergeCell ref="B7:F7"/>
    <mergeCell ref="G7:H7"/>
    <mergeCell ref="M7:N7"/>
    <mergeCell ref="O7:P7"/>
    <mergeCell ref="B6:F6"/>
    <mergeCell ref="G6:H6"/>
    <mergeCell ref="M6:N6"/>
    <mergeCell ref="O6:P6"/>
    <mergeCell ref="B9:F9"/>
    <mergeCell ref="G9:H9"/>
    <mergeCell ref="M9:N9"/>
    <mergeCell ref="O9:P9"/>
    <mergeCell ref="B8:F8"/>
    <mergeCell ref="G8:H8"/>
    <mergeCell ref="M8:N8"/>
    <mergeCell ref="O8:P8"/>
    <mergeCell ref="O13:P13"/>
    <mergeCell ref="B10:F10"/>
    <mergeCell ref="G10:H10"/>
    <mergeCell ref="M10:N10"/>
    <mergeCell ref="O10:P10"/>
    <mergeCell ref="B11:F11"/>
    <mergeCell ref="G11:H11"/>
    <mergeCell ref="M11:N11"/>
    <mergeCell ref="O11:P11"/>
    <mergeCell ref="G15:L15"/>
    <mergeCell ref="M15:N15"/>
    <mergeCell ref="O15:P15"/>
    <mergeCell ref="B12:F12"/>
    <mergeCell ref="I12:K12"/>
    <mergeCell ref="M12:N12"/>
    <mergeCell ref="O12:P12"/>
    <mergeCell ref="B13:F13"/>
    <mergeCell ref="I13:K13"/>
    <mergeCell ref="M13:N13"/>
    <mergeCell ref="B14:F14"/>
    <mergeCell ref="G14:H14"/>
    <mergeCell ref="M14:N14"/>
    <mergeCell ref="O14:P14"/>
    <mergeCell ref="J22:K22"/>
    <mergeCell ref="N22:O22"/>
    <mergeCell ref="G16:L16"/>
    <mergeCell ref="M16:P16"/>
    <mergeCell ref="A19:P19"/>
    <mergeCell ref="A20:B20"/>
    <mergeCell ref="D20:E20"/>
    <mergeCell ref="G20:H20"/>
    <mergeCell ref="J20:K20"/>
    <mergeCell ref="N20:O20"/>
    <mergeCell ref="J24:K24"/>
    <mergeCell ref="N24:O24"/>
    <mergeCell ref="A21:B21"/>
    <mergeCell ref="D21:E21"/>
    <mergeCell ref="G21:H21"/>
    <mergeCell ref="J21:K21"/>
    <mergeCell ref="N21:O21"/>
    <mergeCell ref="A22:B22"/>
    <mergeCell ref="D22:E22"/>
    <mergeCell ref="G22:H22"/>
    <mergeCell ref="J26:K26"/>
    <mergeCell ref="N26:O26"/>
    <mergeCell ref="A23:B23"/>
    <mergeCell ref="D23:E23"/>
    <mergeCell ref="G23:H23"/>
    <mergeCell ref="J23:K23"/>
    <mergeCell ref="N23:O23"/>
    <mergeCell ref="A24:B24"/>
    <mergeCell ref="D24:E24"/>
    <mergeCell ref="G24:H24"/>
    <mergeCell ref="J28:K28"/>
    <mergeCell ref="N28:O28"/>
    <mergeCell ref="A25:B25"/>
    <mergeCell ref="D25:E25"/>
    <mergeCell ref="G25:H25"/>
    <mergeCell ref="J25:K25"/>
    <mergeCell ref="N25:O25"/>
    <mergeCell ref="A26:B26"/>
    <mergeCell ref="D26:E26"/>
    <mergeCell ref="G26:H26"/>
    <mergeCell ref="J30:K30"/>
    <mergeCell ref="N30:O30"/>
    <mergeCell ref="A27:B27"/>
    <mergeCell ref="D27:E27"/>
    <mergeCell ref="G27:H27"/>
    <mergeCell ref="J27:K27"/>
    <mergeCell ref="N27:O27"/>
    <mergeCell ref="A28:B28"/>
    <mergeCell ref="D28:E28"/>
    <mergeCell ref="G28:H28"/>
    <mergeCell ref="J32:K32"/>
    <mergeCell ref="N32:O32"/>
    <mergeCell ref="A29:B29"/>
    <mergeCell ref="D29:E29"/>
    <mergeCell ref="G29:H29"/>
    <mergeCell ref="J29:K29"/>
    <mergeCell ref="N29:O29"/>
    <mergeCell ref="A30:B30"/>
    <mergeCell ref="D30:E30"/>
    <mergeCell ref="G30:H30"/>
    <mergeCell ref="J34:K34"/>
    <mergeCell ref="N34:O34"/>
    <mergeCell ref="A31:B31"/>
    <mergeCell ref="D31:E31"/>
    <mergeCell ref="G31:H31"/>
    <mergeCell ref="J31:K31"/>
    <mergeCell ref="N31:O31"/>
    <mergeCell ref="A32:B32"/>
    <mergeCell ref="D32:E32"/>
    <mergeCell ref="G32:H32"/>
    <mergeCell ref="J36:K36"/>
    <mergeCell ref="N36:O36"/>
    <mergeCell ref="A33:B33"/>
    <mergeCell ref="D33:E33"/>
    <mergeCell ref="G33:H33"/>
    <mergeCell ref="J33:K33"/>
    <mergeCell ref="N33:O33"/>
    <mergeCell ref="A34:B34"/>
    <mergeCell ref="D34:E34"/>
    <mergeCell ref="G34:H34"/>
    <mergeCell ref="J38:K38"/>
    <mergeCell ref="N38:O38"/>
    <mergeCell ref="A35:B35"/>
    <mergeCell ref="D35:E35"/>
    <mergeCell ref="G35:H35"/>
    <mergeCell ref="J35:K35"/>
    <mergeCell ref="N35:O35"/>
    <mergeCell ref="A36:B36"/>
    <mergeCell ref="D36:E36"/>
    <mergeCell ref="G36:H36"/>
    <mergeCell ref="J40:K40"/>
    <mergeCell ref="N40:O40"/>
    <mergeCell ref="A37:B37"/>
    <mergeCell ref="D37:E37"/>
    <mergeCell ref="G37:H37"/>
    <mergeCell ref="J37:K37"/>
    <mergeCell ref="N37:O37"/>
    <mergeCell ref="A38:B38"/>
    <mergeCell ref="D38:E38"/>
    <mergeCell ref="G38:H38"/>
    <mergeCell ref="J42:K42"/>
    <mergeCell ref="N42:O42"/>
    <mergeCell ref="A39:B39"/>
    <mergeCell ref="D39:E39"/>
    <mergeCell ref="G39:H39"/>
    <mergeCell ref="J39:K39"/>
    <mergeCell ref="N39:O39"/>
    <mergeCell ref="A40:B40"/>
    <mergeCell ref="D40:E40"/>
    <mergeCell ref="G40:H40"/>
    <mergeCell ref="J44:K44"/>
    <mergeCell ref="N44:O44"/>
    <mergeCell ref="A41:B41"/>
    <mergeCell ref="D41:E41"/>
    <mergeCell ref="G41:H41"/>
    <mergeCell ref="J41:K41"/>
    <mergeCell ref="N41:O41"/>
    <mergeCell ref="A42:B42"/>
    <mergeCell ref="D42:E42"/>
    <mergeCell ref="G42:H42"/>
    <mergeCell ref="N45:O45"/>
    <mergeCell ref="N46:O46"/>
    <mergeCell ref="A43:B43"/>
    <mergeCell ref="D43:E43"/>
    <mergeCell ref="G43:H43"/>
    <mergeCell ref="J43:K43"/>
    <mergeCell ref="N43:O43"/>
    <mergeCell ref="A44:B44"/>
    <mergeCell ref="D44:E44"/>
    <mergeCell ref="G44:H44"/>
    <mergeCell ref="A45:B45"/>
    <mergeCell ref="D45:E45"/>
    <mergeCell ref="G45:H45"/>
    <mergeCell ref="J45:K45"/>
  </mergeCells>
  <printOptions/>
  <pageMargins left="0.7" right="0.7" top="1.11833" bottom="0.677778" header="0.465972" footer="0.398194"/>
  <pageSetup horizontalDpi="600" verticalDpi="600" orientation="portrait" scale="61"/>
  <headerFooter alignWithMargins="0">
    <oddHeader>&amp;C000000V. ORSZÁGOS TŰZOLTÓ FAVÁGÓ VERSENY</oddHeader>
    <oddFooter>&amp;L&amp;"Helvetica,Regular"&amp;11&amp;C000000............................................................................................&amp;R&amp;"Arial,Regular"&amp;10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/>
  </sheetPr>
  <dimension ref="A1:O53"/>
  <sheetViews>
    <sheetView showGridLines="0" workbookViewId="0" topLeftCell="A1">
      <selection activeCell="A1" sqref="A1:G1"/>
    </sheetView>
  </sheetViews>
  <sheetFormatPr defaultColWidth="8.8515625" defaultRowHeight="12" customHeight="1"/>
  <cols>
    <col min="1" max="7" width="8.8515625" style="5" customWidth="1"/>
    <col min="8" max="11" width="7.140625" style="5" customWidth="1"/>
    <col min="12" max="16384" width="8.8515625" style="5" customWidth="1"/>
  </cols>
  <sheetData>
    <row r="1" spans="1:15" ht="45" customHeight="1">
      <c r="A1" s="923" t="s">
        <v>494</v>
      </c>
      <c r="B1" s="924"/>
      <c r="C1" s="924"/>
      <c r="D1" s="924"/>
      <c r="E1" s="924"/>
      <c r="F1" s="924"/>
      <c r="G1" s="925"/>
      <c r="H1" s="919" t="s">
        <v>221</v>
      </c>
      <c r="I1" s="920"/>
      <c r="J1" s="920"/>
      <c r="K1" s="1019"/>
      <c r="L1" s="1019"/>
      <c r="M1" s="920"/>
      <c r="N1" s="920"/>
      <c r="O1" s="921"/>
    </row>
    <row r="2" spans="1:15" ht="34.5" customHeight="1">
      <c r="A2" s="908" t="s">
        <v>347</v>
      </c>
      <c r="B2" s="909"/>
      <c r="C2" s="469"/>
      <c r="D2" s="470"/>
      <c r="E2" s="471" t="s">
        <v>348</v>
      </c>
      <c r="F2" s="406"/>
      <c r="G2" s="495"/>
      <c r="H2" s="1018" t="s">
        <v>220</v>
      </c>
      <c r="I2" s="909"/>
      <c r="J2" s="406"/>
      <c r="K2" s="406"/>
      <c r="L2" s="472"/>
      <c r="M2" s="472"/>
      <c r="N2" s="1038"/>
      <c r="O2" s="1039"/>
    </row>
    <row r="3" spans="1:15" ht="9" customHeight="1">
      <c r="A3" s="410"/>
      <c r="B3" s="496"/>
      <c r="C3" s="496"/>
      <c r="D3" s="496"/>
      <c r="E3" s="496"/>
      <c r="F3" s="410"/>
      <c r="G3" s="410"/>
      <c r="H3" s="1045"/>
      <c r="I3" s="1045"/>
      <c r="J3" s="1045"/>
      <c r="K3" s="411"/>
      <c r="L3" s="412"/>
      <c r="M3" s="474"/>
      <c r="N3" s="474"/>
      <c r="O3" s="474"/>
    </row>
    <row r="4" spans="1:15" ht="24.75" customHeight="1">
      <c r="A4" s="413" t="s">
        <v>224</v>
      </c>
      <c r="B4" s="904" t="s">
        <v>225</v>
      </c>
      <c r="C4" s="905"/>
      <c r="D4" s="905"/>
      <c r="E4" s="905"/>
      <c r="F4" s="904" t="s">
        <v>280</v>
      </c>
      <c r="G4" s="926"/>
      <c r="H4" s="904" t="s">
        <v>227</v>
      </c>
      <c r="I4" s="1042"/>
      <c r="J4" s="1043"/>
      <c r="K4" s="1044"/>
      <c r="L4" s="904" t="s">
        <v>367</v>
      </c>
      <c r="M4" s="1021"/>
      <c r="N4" s="1040" t="s">
        <v>368</v>
      </c>
      <c r="O4" s="1041"/>
    </row>
    <row r="5" spans="1:15" ht="22.5" customHeight="1">
      <c r="A5" s="476" t="s">
        <v>301</v>
      </c>
      <c r="B5" s="910" t="s">
        <v>282</v>
      </c>
      <c r="C5" s="911"/>
      <c r="D5" s="911"/>
      <c r="E5" s="911"/>
      <c r="F5" s="497"/>
      <c r="G5" s="419" t="s">
        <v>283</v>
      </c>
      <c r="H5" s="1013"/>
      <c r="I5" s="1013"/>
      <c r="J5" s="1014"/>
      <c r="K5" s="498"/>
      <c r="L5" s="1015" t="s">
        <v>369</v>
      </c>
      <c r="M5" s="1016"/>
      <c r="N5" s="1017"/>
      <c r="O5" s="1020"/>
    </row>
    <row r="6" spans="1:15" ht="22.5" customHeight="1">
      <c r="A6" s="414">
        <v>30</v>
      </c>
      <c r="B6" s="910" t="s">
        <v>302</v>
      </c>
      <c r="C6" s="911"/>
      <c r="D6" s="911"/>
      <c r="E6" s="911"/>
      <c r="F6" s="499" t="s">
        <v>303</v>
      </c>
      <c r="G6" s="420" t="s">
        <v>269</v>
      </c>
      <c r="H6" s="1013"/>
      <c r="I6" s="1013"/>
      <c r="J6" s="1014"/>
      <c r="K6" s="498"/>
      <c r="L6" s="1015" t="s">
        <v>495</v>
      </c>
      <c r="M6" s="1016"/>
      <c r="N6" s="1017"/>
      <c r="O6" s="1020"/>
    </row>
    <row r="7" spans="1:15" ht="22.5" customHeight="1">
      <c r="A7" s="414">
        <v>45</v>
      </c>
      <c r="B7" s="910" t="s">
        <v>304</v>
      </c>
      <c r="C7" s="911"/>
      <c r="D7" s="911"/>
      <c r="E7" s="911"/>
      <c r="F7" s="499" t="s">
        <v>303</v>
      </c>
      <c r="G7" s="420" t="s">
        <v>242</v>
      </c>
      <c r="H7" s="1013"/>
      <c r="I7" s="1013"/>
      <c r="J7" s="1014"/>
      <c r="K7" s="498"/>
      <c r="L7" s="1015" t="s">
        <v>495</v>
      </c>
      <c r="M7" s="1016"/>
      <c r="N7" s="1017"/>
      <c r="O7" s="1020"/>
    </row>
    <row r="8" spans="1:15" ht="22.5" customHeight="1">
      <c r="A8" s="414">
        <v>30</v>
      </c>
      <c r="B8" s="910" t="s">
        <v>305</v>
      </c>
      <c r="C8" s="911"/>
      <c r="D8" s="911"/>
      <c r="E8" s="911"/>
      <c r="F8" s="499" t="s">
        <v>303</v>
      </c>
      <c r="G8" s="420" t="s">
        <v>269</v>
      </c>
      <c r="H8" s="1013"/>
      <c r="I8" s="1013"/>
      <c r="J8" s="1014"/>
      <c r="K8" s="498"/>
      <c r="L8" s="1015" t="s">
        <v>495</v>
      </c>
      <c r="M8" s="1016"/>
      <c r="N8" s="1017"/>
      <c r="O8" s="1020"/>
    </row>
    <row r="9" spans="1:15" ht="22.5" customHeight="1">
      <c r="A9" s="414">
        <v>45</v>
      </c>
      <c r="B9" s="910" t="s">
        <v>306</v>
      </c>
      <c r="C9" s="911"/>
      <c r="D9" s="911"/>
      <c r="E9" s="911"/>
      <c r="F9" s="499" t="s">
        <v>303</v>
      </c>
      <c r="G9" s="420" t="s">
        <v>242</v>
      </c>
      <c r="H9" s="1013"/>
      <c r="I9" s="1013"/>
      <c r="J9" s="1014"/>
      <c r="K9" s="498"/>
      <c r="L9" s="1015" t="s">
        <v>495</v>
      </c>
      <c r="M9" s="1016"/>
      <c r="N9" s="1017"/>
      <c r="O9" s="1020"/>
    </row>
    <row r="10" spans="1:15" ht="22.5" customHeight="1">
      <c r="A10" s="414">
        <v>-50</v>
      </c>
      <c r="B10" s="910" t="s">
        <v>307</v>
      </c>
      <c r="C10" s="911"/>
      <c r="D10" s="911"/>
      <c r="E10" s="911"/>
      <c r="F10" s="430">
        <v>0</v>
      </c>
      <c r="G10" s="419" t="s">
        <v>256</v>
      </c>
      <c r="H10" s="1013"/>
      <c r="I10" s="1013"/>
      <c r="J10" s="1014"/>
      <c r="K10" s="498"/>
      <c r="L10" s="1017"/>
      <c r="M10" s="1017"/>
      <c r="N10" s="1015" t="s">
        <v>495</v>
      </c>
      <c r="O10" s="1046"/>
    </row>
    <row r="11" spans="1:15" ht="22.5" customHeight="1">
      <c r="A11" s="414">
        <v>-50</v>
      </c>
      <c r="B11" s="910" t="s">
        <v>308</v>
      </c>
      <c r="C11" s="911"/>
      <c r="D11" s="911"/>
      <c r="E11" s="911"/>
      <c r="F11" s="430">
        <v>0</v>
      </c>
      <c r="G11" s="419" t="s">
        <v>256</v>
      </c>
      <c r="H11" s="1013"/>
      <c r="I11" s="1013"/>
      <c r="J11" s="1014"/>
      <c r="K11" s="498"/>
      <c r="L11" s="1017"/>
      <c r="M11" s="1017"/>
      <c r="N11" s="1015" t="s">
        <v>495</v>
      </c>
      <c r="O11" s="1046"/>
    </row>
    <row r="12" spans="1:15" ht="22.5" customHeight="1">
      <c r="A12" s="414">
        <v>-50</v>
      </c>
      <c r="B12" s="910" t="s">
        <v>309</v>
      </c>
      <c r="C12" s="911"/>
      <c r="D12" s="911"/>
      <c r="E12" s="911"/>
      <c r="F12" s="430">
        <v>0</v>
      </c>
      <c r="G12" s="419" t="s">
        <v>256</v>
      </c>
      <c r="H12" s="1013"/>
      <c r="I12" s="1013"/>
      <c r="J12" s="1014"/>
      <c r="K12" s="498"/>
      <c r="L12" s="1017"/>
      <c r="M12" s="1017"/>
      <c r="N12" s="1015" t="s">
        <v>495</v>
      </c>
      <c r="O12" s="1046"/>
    </row>
    <row r="13" spans="1:15" ht="22.5" customHeight="1">
      <c r="A13" s="414">
        <v>-20</v>
      </c>
      <c r="B13" s="910" t="s">
        <v>310</v>
      </c>
      <c r="C13" s="911"/>
      <c r="D13" s="911"/>
      <c r="E13" s="911"/>
      <c r="F13" s="430">
        <v>0</v>
      </c>
      <c r="G13" s="419" t="s">
        <v>256</v>
      </c>
      <c r="H13" s="1013"/>
      <c r="I13" s="1013"/>
      <c r="J13" s="1014"/>
      <c r="K13" s="498"/>
      <c r="L13" s="1017"/>
      <c r="M13" s="1017"/>
      <c r="N13" s="1015" t="s">
        <v>495</v>
      </c>
      <c r="O13" s="1046"/>
    </row>
    <row r="14" spans="1:15" ht="22.5" customHeight="1">
      <c r="A14" s="476" t="s">
        <v>311</v>
      </c>
      <c r="B14" s="910" t="s">
        <v>312</v>
      </c>
      <c r="C14" s="911"/>
      <c r="D14" s="911"/>
      <c r="E14" s="911"/>
      <c r="F14" s="430">
        <v>0</v>
      </c>
      <c r="G14" s="419" t="s">
        <v>256</v>
      </c>
      <c r="H14" s="1013"/>
      <c r="I14" s="1013"/>
      <c r="J14" s="1014"/>
      <c r="K14" s="498"/>
      <c r="L14" s="1017"/>
      <c r="M14" s="1017"/>
      <c r="N14" s="1015" t="s">
        <v>495</v>
      </c>
      <c r="O14" s="1046"/>
    </row>
    <row r="15" spans="1:15" ht="22.5" customHeight="1">
      <c r="A15" s="414">
        <v>-50</v>
      </c>
      <c r="B15" s="910" t="s">
        <v>313</v>
      </c>
      <c r="C15" s="911"/>
      <c r="D15" s="911"/>
      <c r="E15" s="911"/>
      <c r="F15" s="430">
        <v>0</v>
      </c>
      <c r="G15" s="419" t="s">
        <v>256</v>
      </c>
      <c r="H15" s="1013"/>
      <c r="I15" s="1013"/>
      <c r="J15" s="1014"/>
      <c r="K15" s="498"/>
      <c r="L15" s="1017"/>
      <c r="M15" s="1017"/>
      <c r="N15" s="1015" t="s">
        <v>495</v>
      </c>
      <c r="O15" s="1046"/>
    </row>
    <row r="16" spans="1:15" ht="22.5" customHeight="1">
      <c r="A16" s="414">
        <v>-50</v>
      </c>
      <c r="B16" s="910" t="s">
        <v>252</v>
      </c>
      <c r="C16" s="911"/>
      <c r="D16" s="911"/>
      <c r="E16" s="911"/>
      <c r="F16" s="906" t="s">
        <v>247</v>
      </c>
      <c r="G16" s="907"/>
      <c r="H16" s="419" t="s">
        <v>286</v>
      </c>
      <c r="I16" s="478"/>
      <c r="J16" s="419" t="s">
        <v>287</v>
      </c>
      <c r="K16" s="479"/>
      <c r="L16" s="1017"/>
      <c r="M16" s="1017"/>
      <c r="N16" s="1015" t="s">
        <v>495</v>
      </c>
      <c r="O16" s="1046"/>
    </row>
    <row r="17" spans="1:15" ht="22.5" customHeight="1">
      <c r="A17" s="414">
        <v>-30</v>
      </c>
      <c r="B17" s="910" t="s">
        <v>496</v>
      </c>
      <c r="C17" s="911"/>
      <c r="D17" s="911"/>
      <c r="E17" s="911"/>
      <c r="F17" s="906" t="s">
        <v>247</v>
      </c>
      <c r="G17" s="907"/>
      <c r="H17" s="419" t="s">
        <v>286</v>
      </c>
      <c r="I17" s="478"/>
      <c r="J17" s="419" t="s">
        <v>287</v>
      </c>
      <c r="K17" s="479"/>
      <c r="L17" s="1017"/>
      <c r="M17" s="1017"/>
      <c r="N17" s="1015" t="s">
        <v>495</v>
      </c>
      <c r="O17" s="1046"/>
    </row>
    <row r="18" spans="1:15" ht="22.5" customHeight="1">
      <c r="A18" s="414">
        <v>-30</v>
      </c>
      <c r="B18" s="910" t="s">
        <v>255</v>
      </c>
      <c r="C18" s="911"/>
      <c r="D18" s="911"/>
      <c r="E18" s="911"/>
      <c r="F18" s="428">
        <v>0</v>
      </c>
      <c r="G18" s="429" t="s">
        <v>256</v>
      </c>
      <c r="H18" s="1013"/>
      <c r="I18" s="1013"/>
      <c r="J18" s="1014"/>
      <c r="K18" s="498"/>
      <c r="L18" s="1017"/>
      <c r="M18" s="1017"/>
      <c r="N18" s="1015" t="s">
        <v>495</v>
      </c>
      <c r="O18" s="1046"/>
    </row>
    <row r="19" spans="1:15" ht="22.5" customHeight="1">
      <c r="A19" s="414">
        <v>-20</v>
      </c>
      <c r="B19" s="910" t="s">
        <v>257</v>
      </c>
      <c r="C19" s="911"/>
      <c r="D19" s="911"/>
      <c r="E19" s="911"/>
      <c r="F19" s="906" t="s">
        <v>247</v>
      </c>
      <c r="G19" s="907"/>
      <c r="H19" s="419" t="s">
        <v>286</v>
      </c>
      <c r="I19" s="478"/>
      <c r="J19" s="419" t="s">
        <v>287</v>
      </c>
      <c r="K19" s="479"/>
      <c r="L19" s="1017"/>
      <c r="M19" s="1017"/>
      <c r="N19" s="1015" t="s">
        <v>495</v>
      </c>
      <c r="O19" s="1046"/>
    </row>
    <row r="20" spans="1:15" ht="22.5" customHeight="1">
      <c r="A20" s="414">
        <v>-20</v>
      </c>
      <c r="B20" s="910" t="s">
        <v>260</v>
      </c>
      <c r="C20" s="911"/>
      <c r="D20" s="911"/>
      <c r="E20" s="911"/>
      <c r="F20" s="430">
        <v>0</v>
      </c>
      <c r="G20" s="419" t="s">
        <v>256</v>
      </c>
      <c r="H20" s="1013"/>
      <c r="I20" s="1013"/>
      <c r="J20" s="1014"/>
      <c r="K20" s="498"/>
      <c r="L20" s="1017"/>
      <c r="M20" s="1017"/>
      <c r="N20" s="1015" t="s">
        <v>495</v>
      </c>
      <c r="O20" s="1046"/>
    </row>
    <row r="21" spans="1:15" ht="22.5" customHeight="1">
      <c r="A21" s="414">
        <v>-50</v>
      </c>
      <c r="B21" s="910" t="s">
        <v>261</v>
      </c>
      <c r="C21" s="911"/>
      <c r="D21" s="911"/>
      <c r="E21" s="911"/>
      <c r="F21" s="430">
        <v>0</v>
      </c>
      <c r="G21" s="419" t="s">
        <v>256</v>
      </c>
      <c r="H21" s="1013"/>
      <c r="I21" s="1013"/>
      <c r="J21" s="1014"/>
      <c r="K21" s="498"/>
      <c r="L21" s="1017"/>
      <c r="M21" s="1017"/>
      <c r="N21" s="1015" t="s">
        <v>495</v>
      </c>
      <c r="O21" s="1046"/>
    </row>
    <row r="22" spans="1:15" ht="22.5" customHeight="1">
      <c r="A22" s="414">
        <v>-20</v>
      </c>
      <c r="B22" s="910" t="s">
        <v>262</v>
      </c>
      <c r="C22" s="911"/>
      <c r="D22" s="911"/>
      <c r="E22" s="911"/>
      <c r="F22" s="430">
        <v>0</v>
      </c>
      <c r="G22" s="419" t="s">
        <v>256</v>
      </c>
      <c r="H22" s="1013"/>
      <c r="I22" s="1013"/>
      <c r="J22" s="1014"/>
      <c r="K22" s="498"/>
      <c r="L22" s="1017"/>
      <c r="M22" s="1017"/>
      <c r="N22" s="1015" t="s">
        <v>495</v>
      </c>
      <c r="O22" s="1046"/>
    </row>
    <row r="23" spans="1:15" ht="22.5" customHeight="1">
      <c r="A23" s="414">
        <v>-20</v>
      </c>
      <c r="B23" s="910" t="s">
        <v>263</v>
      </c>
      <c r="C23" s="911"/>
      <c r="D23" s="911"/>
      <c r="E23" s="911"/>
      <c r="F23" s="430">
        <v>0</v>
      </c>
      <c r="G23" s="419" t="s">
        <v>256</v>
      </c>
      <c r="H23" s="1013"/>
      <c r="I23" s="1013"/>
      <c r="J23" s="1014"/>
      <c r="K23" s="498"/>
      <c r="L23" s="1017"/>
      <c r="M23" s="1017"/>
      <c r="N23" s="1015" t="s">
        <v>495</v>
      </c>
      <c r="O23" s="1046"/>
    </row>
    <row r="24" spans="1:15" ht="22.5" customHeight="1">
      <c r="A24" s="414">
        <v>-20</v>
      </c>
      <c r="B24" s="910" t="s">
        <v>264</v>
      </c>
      <c r="C24" s="911"/>
      <c r="D24" s="911"/>
      <c r="E24" s="911"/>
      <c r="F24" s="430">
        <v>0</v>
      </c>
      <c r="G24" s="419" t="s">
        <v>256</v>
      </c>
      <c r="H24" s="1013"/>
      <c r="I24" s="1013"/>
      <c r="J24" s="1014"/>
      <c r="K24" s="498"/>
      <c r="L24" s="1017"/>
      <c r="M24" s="1017"/>
      <c r="N24" s="1015" t="s">
        <v>495</v>
      </c>
      <c r="O24" s="1046"/>
    </row>
    <row r="25" spans="1:15" ht="22.5" customHeight="1">
      <c r="A25" s="414">
        <v>-50</v>
      </c>
      <c r="B25" s="910" t="s">
        <v>265</v>
      </c>
      <c r="C25" s="911"/>
      <c r="D25" s="911"/>
      <c r="E25" s="911"/>
      <c r="F25" s="430">
        <v>0</v>
      </c>
      <c r="G25" s="419" t="s">
        <v>256</v>
      </c>
      <c r="H25" s="1013"/>
      <c r="I25" s="1013"/>
      <c r="J25" s="1014"/>
      <c r="K25" s="498"/>
      <c r="L25" s="1017"/>
      <c r="M25" s="1017"/>
      <c r="N25" s="1015" t="s">
        <v>495</v>
      </c>
      <c r="O25" s="1046"/>
    </row>
    <row r="26" spans="1:15" ht="22.5" customHeight="1">
      <c r="A26" s="476" t="s">
        <v>314</v>
      </c>
      <c r="B26" s="910" t="s">
        <v>315</v>
      </c>
      <c r="C26" s="911"/>
      <c r="D26" s="911"/>
      <c r="E26" s="911"/>
      <c r="F26" s="906" t="s">
        <v>247</v>
      </c>
      <c r="G26" s="907"/>
      <c r="H26" s="419" t="s">
        <v>286</v>
      </c>
      <c r="I26" s="478"/>
      <c r="J26" s="419" t="s">
        <v>287</v>
      </c>
      <c r="K26" s="479"/>
      <c r="L26" s="1033"/>
      <c r="M26" s="1033"/>
      <c r="N26" s="1060" t="s">
        <v>495</v>
      </c>
      <c r="O26" s="1061"/>
    </row>
    <row r="27" spans="1:15" ht="31.5" customHeight="1">
      <c r="A27" s="1066"/>
      <c r="B27" s="1067"/>
      <c r="C27" s="1067"/>
      <c r="D27" s="1067"/>
      <c r="E27" s="1067"/>
      <c r="F27" s="1067"/>
      <c r="G27" s="1068"/>
      <c r="H27" s="1030" t="s">
        <v>266</v>
      </c>
      <c r="I27" s="1023"/>
      <c r="J27" s="1031"/>
      <c r="K27" s="1032"/>
      <c r="L27" s="1064"/>
      <c r="M27" s="1065"/>
      <c r="N27" s="1062"/>
      <c r="O27" s="1063"/>
    </row>
    <row r="28" spans="1:15" ht="34.5" customHeight="1">
      <c r="A28" s="500" t="s">
        <v>316</v>
      </c>
      <c r="B28" s="1036"/>
      <c r="C28" s="1037"/>
      <c r="D28" s="1037"/>
      <c r="E28" s="1037"/>
      <c r="F28" s="1037"/>
      <c r="G28" s="1037"/>
      <c r="H28" s="1048" t="s">
        <v>267</v>
      </c>
      <c r="I28" s="1049"/>
      <c r="J28" s="1050"/>
      <c r="K28" s="1051"/>
      <c r="L28" s="1052"/>
      <c r="M28" s="1053"/>
      <c r="N28" s="1053"/>
      <c r="O28" s="1054"/>
    </row>
    <row r="29" spans="1:15" ht="15" customHeight="1">
      <c r="A29" s="501" t="s">
        <v>317</v>
      </c>
      <c r="B29" s="502"/>
      <c r="C29" s="503"/>
      <c r="D29" s="503"/>
      <c r="E29" s="503"/>
      <c r="F29" s="504"/>
      <c r="G29" s="505"/>
      <c r="H29" s="506"/>
      <c r="I29" s="506"/>
      <c r="J29" s="506"/>
      <c r="K29" s="506"/>
      <c r="L29" s="506"/>
      <c r="M29" s="506"/>
      <c r="N29" s="506"/>
      <c r="O29" s="439"/>
    </row>
    <row r="30" spans="1:15" ht="15" customHeight="1">
      <c r="A30" s="507" t="s">
        <v>497</v>
      </c>
      <c r="B30" s="508"/>
      <c r="C30" s="508"/>
      <c r="D30" s="508"/>
      <c r="E30" s="508"/>
      <c r="F30" s="10"/>
      <c r="G30" s="10"/>
      <c r="H30" s="163"/>
      <c r="I30" s="10"/>
      <c r="J30" s="10"/>
      <c r="K30" s="10"/>
      <c r="L30" s="10"/>
      <c r="M30" s="10"/>
      <c r="N30" s="10"/>
      <c r="O30" s="10"/>
    </row>
    <row r="31" spans="1:15" ht="13.5" customHeight="1">
      <c r="A31" s="10"/>
      <c r="B31" s="508"/>
      <c r="C31" s="508"/>
      <c r="D31" s="508"/>
      <c r="E31" s="160"/>
      <c r="F31" s="1024" t="s">
        <v>498</v>
      </c>
      <c r="G31" s="1025"/>
      <c r="H31" s="1024" t="s">
        <v>499</v>
      </c>
      <c r="I31" s="1025"/>
      <c r="J31" s="1025"/>
      <c r="K31" s="1047"/>
      <c r="L31" s="1047"/>
      <c r="M31" s="1025"/>
      <c r="N31" s="1025"/>
      <c r="O31" s="1025"/>
    </row>
    <row r="32" spans="1:15" ht="13.5" customHeight="1">
      <c r="A32" s="510"/>
      <c r="B32" s="511" t="s">
        <v>282</v>
      </c>
      <c r="C32" s="510"/>
      <c r="D32" s="510"/>
      <c r="E32" s="509"/>
      <c r="F32" s="1059" t="s">
        <v>500</v>
      </c>
      <c r="G32" s="1055"/>
      <c r="H32" s="1024" t="s">
        <v>501</v>
      </c>
      <c r="I32" s="1055"/>
      <c r="J32" s="1055"/>
      <c r="K32" s="1056"/>
      <c r="L32" s="1056"/>
      <c r="M32" s="1055"/>
      <c r="N32" s="1055"/>
      <c r="O32" s="1025"/>
    </row>
    <row r="33" spans="1:15" ht="13.5" customHeight="1">
      <c r="A33" s="512" t="s">
        <v>283</v>
      </c>
      <c r="B33" s="513" t="s">
        <v>224</v>
      </c>
      <c r="C33" s="512" t="s">
        <v>283</v>
      </c>
      <c r="D33" s="513" t="s">
        <v>224</v>
      </c>
      <c r="E33" s="514"/>
      <c r="F33" s="515" t="s">
        <v>242</v>
      </c>
      <c r="G33" s="515" t="s">
        <v>224</v>
      </c>
      <c r="H33" s="516"/>
      <c r="I33" s="1026" t="s">
        <v>502</v>
      </c>
      <c r="J33" s="1027"/>
      <c r="K33" s="1028"/>
      <c r="L33" s="1029"/>
      <c r="M33" s="517" t="s">
        <v>503</v>
      </c>
      <c r="N33" s="517" t="s">
        <v>504</v>
      </c>
      <c r="O33" s="518"/>
    </row>
    <row r="34" spans="1:15" ht="13.5" customHeight="1">
      <c r="A34" s="512" t="s">
        <v>363</v>
      </c>
      <c r="B34" s="513" t="s">
        <v>363</v>
      </c>
      <c r="C34" s="519">
        <v>33</v>
      </c>
      <c r="D34" s="520">
        <v>44</v>
      </c>
      <c r="E34" s="514"/>
      <c r="F34" s="521" t="s">
        <v>303</v>
      </c>
      <c r="G34" s="522">
        <v>45</v>
      </c>
      <c r="H34" s="523"/>
      <c r="I34" s="1035" t="s">
        <v>505</v>
      </c>
      <c r="J34" s="1028"/>
      <c r="K34" s="1028"/>
      <c r="L34" s="1029"/>
      <c r="M34" s="524">
        <v>1</v>
      </c>
      <c r="N34" s="522">
        <v>30</v>
      </c>
      <c r="O34" s="244"/>
    </row>
    <row r="35" spans="1:15" ht="15" customHeight="1">
      <c r="A35" s="519">
        <v>14</v>
      </c>
      <c r="B35" s="520">
        <v>63</v>
      </c>
      <c r="C35" s="519">
        <v>34</v>
      </c>
      <c r="D35" s="520">
        <v>43</v>
      </c>
      <c r="E35" s="514"/>
      <c r="F35" s="525">
        <v>2</v>
      </c>
      <c r="G35" s="525">
        <v>40</v>
      </c>
      <c r="H35" s="523"/>
      <c r="I35" s="1069" t="s">
        <v>506</v>
      </c>
      <c r="J35" s="1029"/>
      <c r="K35" s="1022" t="s">
        <v>507</v>
      </c>
      <c r="L35" s="1023"/>
      <c r="M35" s="526">
        <v>1.5</v>
      </c>
      <c r="N35" s="525">
        <v>27</v>
      </c>
      <c r="O35" s="244"/>
    </row>
    <row r="36" spans="1:15" ht="15" customHeight="1">
      <c r="A36" s="519">
        <v>15</v>
      </c>
      <c r="B36" s="520">
        <v>62</v>
      </c>
      <c r="C36" s="519">
        <v>35</v>
      </c>
      <c r="D36" s="520">
        <v>42</v>
      </c>
      <c r="E36" s="514"/>
      <c r="F36" s="525">
        <v>3</v>
      </c>
      <c r="G36" s="525">
        <v>36</v>
      </c>
      <c r="H36" s="523"/>
      <c r="I36" s="1034" t="s">
        <v>508</v>
      </c>
      <c r="J36" s="1029"/>
      <c r="K36" s="1022" t="s">
        <v>509</v>
      </c>
      <c r="L36" s="1023"/>
      <c r="M36" s="526">
        <v>2</v>
      </c>
      <c r="N36" s="525">
        <v>24</v>
      </c>
      <c r="O36" s="244"/>
    </row>
    <row r="37" spans="1:15" ht="15" customHeight="1">
      <c r="A37" s="519">
        <v>16</v>
      </c>
      <c r="B37" s="520">
        <v>61</v>
      </c>
      <c r="C37" s="519">
        <v>36</v>
      </c>
      <c r="D37" s="520">
        <v>41</v>
      </c>
      <c r="E37" s="514"/>
      <c r="F37" s="525">
        <v>4</v>
      </c>
      <c r="G37" s="525">
        <v>33</v>
      </c>
      <c r="H37" s="523"/>
      <c r="I37" s="1034" t="s">
        <v>510</v>
      </c>
      <c r="J37" s="1029"/>
      <c r="K37" s="1022" t="s">
        <v>511</v>
      </c>
      <c r="L37" s="1023"/>
      <c r="M37" s="526">
        <v>2.5</v>
      </c>
      <c r="N37" s="525">
        <v>21</v>
      </c>
      <c r="O37" s="244"/>
    </row>
    <row r="38" spans="1:15" ht="15" customHeight="1">
      <c r="A38" s="519">
        <v>17</v>
      </c>
      <c r="B38" s="520">
        <v>60</v>
      </c>
      <c r="C38" s="519">
        <v>37</v>
      </c>
      <c r="D38" s="520">
        <v>40</v>
      </c>
      <c r="E38" s="514"/>
      <c r="F38" s="525">
        <v>5</v>
      </c>
      <c r="G38" s="525">
        <v>30</v>
      </c>
      <c r="H38" s="523"/>
      <c r="I38" s="1034" t="s">
        <v>512</v>
      </c>
      <c r="J38" s="1029"/>
      <c r="K38" s="1022" t="s">
        <v>513</v>
      </c>
      <c r="L38" s="1023"/>
      <c r="M38" s="526">
        <v>3</v>
      </c>
      <c r="N38" s="525">
        <v>18</v>
      </c>
      <c r="O38" s="244"/>
    </row>
    <row r="39" spans="1:15" ht="15" customHeight="1">
      <c r="A39" s="519">
        <v>18</v>
      </c>
      <c r="B39" s="520">
        <v>59</v>
      </c>
      <c r="C39" s="519">
        <v>38</v>
      </c>
      <c r="D39" s="520">
        <v>39</v>
      </c>
      <c r="E39" s="514"/>
      <c r="F39" s="525">
        <v>6</v>
      </c>
      <c r="G39" s="525">
        <v>27</v>
      </c>
      <c r="H39" s="523"/>
      <c r="I39" s="1034" t="s">
        <v>514</v>
      </c>
      <c r="J39" s="1029"/>
      <c r="K39" s="1022" t="s">
        <v>515</v>
      </c>
      <c r="L39" s="1023"/>
      <c r="M39" s="526">
        <v>3.5</v>
      </c>
      <c r="N39" s="525">
        <v>15</v>
      </c>
      <c r="O39" s="244"/>
    </row>
    <row r="40" spans="1:15" ht="15" customHeight="1">
      <c r="A40" s="519">
        <v>19</v>
      </c>
      <c r="B40" s="520">
        <v>58</v>
      </c>
      <c r="C40" s="519">
        <v>39</v>
      </c>
      <c r="D40" s="520">
        <v>38</v>
      </c>
      <c r="E40" s="514"/>
      <c r="F40" s="525">
        <v>7</v>
      </c>
      <c r="G40" s="525">
        <v>24</v>
      </c>
      <c r="H40" s="523"/>
      <c r="I40" s="1034" t="s">
        <v>516</v>
      </c>
      <c r="J40" s="1029"/>
      <c r="K40" s="1022" t="s">
        <v>517</v>
      </c>
      <c r="L40" s="1023"/>
      <c r="M40" s="526">
        <v>4</v>
      </c>
      <c r="N40" s="525">
        <v>12</v>
      </c>
      <c r="O40" s="244"/>
    </row>
    <row r="41" spans="1:15" ht="15" customHeight="1">
      <c r="A41" s="519">
        <v>20</v>
      </c>
      <c r="B41" s="520">
        <v>57</v>
      </c>
      <c r="C41" s="519">
        <v>40</v>
      </c>
      <c r="D41" s="520">
        <v>37</v>
      </c>
      <c r="E41" s="514"/>
      <c r="F41" s="525">
        <v>8</v>
      </c>
      <c r="G41" s="525">
        <v>21</v>
      </c>
      <c r="H41" s="523"/>
      <c r="I41" s="1034" t="s">
        <v>518</v>
      </c>
      <c r="J41" s="1029"/>
      <c r="K41" s="1022" t="s">
        <v>519</v>
      </c>
      <c r="L41" s="1023"/>
      <c r="M41" s="526">
        <v>4.5</v>
      </c>
      <c r="N41" s="525">
        <v>9</v>
      </c>
      <c r="O41" s="244"/>
    </row>
    <row r="42" spans="1:15" ht="15" customHeight="1">
      <c r="A42" s="519">
        <v>21</v>
      </c>
      <c r="B42" s="520">
        <v>56</v>
      </c>
      <c r="C42" s="519">
        <v>41</v>
      </c>
      <c r="D42" s="520">
        <v>36</v>
      </c>
      <c r="E42" s="514"/>
      <c r="F42" s="525">
        <v>9</v>
      </c>
      <c r="G42" s="525">
        <v>18</v>
      </c>
      <c r="H42" s="523"/>
      <c r="I42" s="1034" t="s">
        <v>520</v>
      </c>
      <c r="J42" s="1029"/>
      <c r="K42" s="1022" t="s">
        <v>521</v>
      </c>
      <c r="L42" s="1023"/>
      <c r="M42" s="526">
        <v>5</v>
      </c>
      <c r="N42" s="525">
        <v>6</v>
      </c>
      <c r="O42" s="244"/>
    </row>
    <row r="43" spans="1:15" ht="15" customHeight="1">
      <c r="A43" s="519">
        <v>22</v>
      </c>
      <c r="B43" s="520">
        <v>55</v>
      </c>
      <c r="C43" s="519">
        <v>42</v>
      </c>
      <c r="D43" s="520">
        <v>35</v>
      </c>
      <c r="E43" s="514"/>
      <c r="F43" s="525">
        <v>10</v>
      </c>
      <c r="G43" s="525">
        <v>15</v>
      </c>
      <c r="H43" s="523"/>
      <c r="I43" s="1034" t="s">
        <v>522</v>
      </c>
      <c r="J43" s="1029"/>
      <c r="K43" s="1022" t="s">
        <v>523</v>
      </c>
      <c r="L43" s="1023"/>
      <c r="M43" s="526">
        <v>5.5</v>
      </c>
      <c r="N43" s="525">
        <v>3</v>
      </c>
      <c r="O43" s="244"/>
    </row>
    <row r="44" spans="1:15" ht="15" customHeight="1">
      <c r="A44" s="519">
        <v>23</v>
      </c>
      <c r="B44" s="520">
        <v>54</v>
      </c>
      <c r="C44" s="519">
        <v>43</v>
      </c>
      <c r="D44" s="520">
        <v>34</v>
      </c>
      <c r="E44" s="514"/>
      <c r="F44" s="525">
        <v>11</v>
      </c>
      <c r="G44" s="525">
        <v>12</v>
      </c>
      <c r="H44" s="523"/>
      <c r="I44" s="1057" t="s">
        <v>524</v>
      </c>
      <c r="J44" s="1058"/>
      <c r="K44" s="1022" t="s">
        <v>525</v>
      </c>
      <c r="L44" s="1023"/>
      <c r="M44" s="526">
        <v>6</v>
      </c>
      <c r="N44" s="525">
        <v>0</v>
      </c>
      <c r="O44" s="244"/>
    </row>
    <row r="45" spans="1:15" ht="15" customHeight="1">
      <c r="A45" s="519">
        <v>24</v>
      </c>
      <c r="B45" s="520">
        <v>53</v>
      </c>
      <c r="C45" s="519">
        <v>44</v>
      </c>
      <c r="D45" s="520">
        <v>33</v>
      </c>
      <c r="E45" s="514"/>
      <c r="F45" s="525">
        <v>12</v>
      </c>
      <c r="G45" s="525">
        <v>9</v>
      </c>
      <c r="H45" s="244"/>
      <c r="I45" s="155"/>
      <c r="J45" s="155"/>
      <c r="K45" s="155"/>
      <c r="L45" s="155"/>
      <c r="M45" s="155"/>
      <c r="N45" s="155"/>
      <c r="O45" s="10"/>
    </row>
    <row r="46" spans="1:15" ht="15" customHeight="1">
      <c r="A46" s="519">
        <v>25</v>
      </c>
      <c r="B46" s="520">
        <v>52</v>
      </c>
      <c r="C46" s="519">
        <v>45</v>
      </c>
      <c r="D46" s="520">
        <v>32</v>
      </c>
      <c r="E46" s="514"/>
      <c r="F46" s="525">
        <v>13</v>
      </c>
      <c r="G46" s="525">
        <v>6</v>
      </c>
      <c r="H46" s="244"/>
      <c r="I46" s="10"/>
      <c r="J46" s="10"/>
      <c r="K46" s="10"/>
      <c r="L46" s="10"/>
      <c r="M46" s="10"/>
      <c r="N46" s="10"/>
      <c r="O46" s="10"/>
    </row>
    <row r="47" spans="1:15" ht="15" customHeight="1">
      <c r="A47" s="519">
        <v>26</v>
      </c>
      <c r="B47" s="520">
        <v>51</v>
      </c>
      <c r="C47" s="519">
        <v>46</v>
      </c>
      <c r="D47" s="520">
        <v>31</v>
      </c>
      <c r="E47" s="514"/>
      <c r="F47" s="525">
        <v>14</v>
      </c>
      <c r="G47" s="525">
        <v>3</v>
      </c>
      <c r="H47" s="244"/>
      <c r="I47" s="10"/>
      <c r="J47" s="10"/>
      <c r="K47" s="10"/>
      <c r="L47" s="10"/>
      <c r="M47" s="10"/>
      <c r="N47" s="10"/>
      <c r="O47" s="10"/>
    </row>
    <row r="48" spans="1:15" ht="15" customHeight="1">
      <c r="A48" s="527">
        <v>27</v>
      </c>
      <c r="B48" s="528">
        <v>50</v>
      </c>
      <c r="C48" s="519">
        <v>47</v>
      </c>
      <c r="D48" s="520">
        <v>30</v>
      </c>
      <c r="E48" s="514"/>
      <c r="F48" s="515" t="s">
        <v>526</v>
      </c>
      <c r="G48" s="525">
        <v>0</v>
      </c>
      <c r="H48" s="244"/>
      <c r="I48" s="163"/>
      <c r="J48" s="10"/>
      <c r="K48" s="10"/>
      <c r="L48" s="10"/>
      <c r="M48" s="163"/>
      <c r="N48" s="163"/>
      <c r="O48" s="10"/>
    </row>
    <row r="49" spans="1:15" ht="15" customHeight="1">
      <c r="A49" s="519">
        <v>28</v>
      </c>
      <c r="B49" s="520">
        <v>49</v>
      </c>
      <c r="C49" s="519">
        <v>48</v>
      </c>
      <c r="D49" s="520">
        <v>29</v>
      </c>
      <c r="E49" s="529"/>
      <c r="F49" s="530"/>
      <c r="G49" s="530"/>
      <c r="H49" s="10"/>
      <c r="I49" s="531"/>
      <c r="J49" s="10"/>
      <c r="K49" s="10"/>
      <c r="L49" s="10"/>
      <c r="M49" s="532"/>
      <c r="N49" s="531"/>
      <c r="O49" s="10"/>
    </row>
    <row r="50" spans="1:15" ht="15" customHeight="1">
      <c r="A50" s="519">
        <v>29</v>
      </c>
      <c r="B50" s="520">
        <v>48</v>
      </c>
      <c r="C50" s="519">
        <v>49</v>
      </c>
      <c r="D50" s="520">
        <v>28</v>
      </c>
      <c r="E50" s="529"/>
      <c r="F50" s="487"/>
      <c r="G50" s="487"/>
      <c r="H50" s="10"/>
      <c r="I50" s="163"/>
      <c r="J50" s="10"/>
      <c r="K50" s="160"/>
      <c r="L50" s="10"/>
      <c r="M50" s="533"/>
      <c r="N50" s="160"/>
      <c r="O50" s="10"/>
    </row>
    <row r="51" spans="1:15" ht="15" customHeight="1">
      <c r="A51" s="519">
        <v>30</v>
      </c>
      <c r="B51" s="520">
        <v>47</v>
      </c>
      <c r="C51" s="519">
        <v>50</v>
      </c>
      <c r="D51" s="520">
        <v>27</v>
      </c>
      <c r="E51" s="529"/>
      <c r="F51" s="487"/>
      <c r="G51" s="487"/>
      <c r="H51" s="10"/>
      <c r="I51" s="160"/>
      <c r="J51" s="10"/>
      <c r="K51" s="160"/>
      <c r="L51" s="10"/>
      <c r="M51" s="533"/>
      <c r="N51" s="160"/>
      <c r="O51" s="10"/>
    </row>
    <row r="52" spans="1:15" ht="15" customHeight="1">
      <c r="A52" s="519">
        <v>31</v>
      </c>
      <c r="B52" s="520">
        <v>46</v>
      </c>
      <c r="C52" s="519">
        <v>51</v>
      </c>
      <c r="D52" s="520">
        <v>26</v>
      </c>
      <c r="E52" s="529"/>
      <c r="F52" s="487"/>
      <c r="G52" s="487"/>
      <c r="H52" s="10"/>
      <c r="I52" s="160"/>
      <c r="J52" s="10"/>
      <c r="K52" s="160"/>
      <c r="L52" s="10"/>
      <c r="M52" s="533"/>
      <c r="N52" s="160"/>
      <c r="O52" s="10"/>
    </row>
    <row r="53" spans="1:15" ht="15" customHeight="1">
      <c r="A53" s="519">
        <v>32</v>
      </c>
      <c r="B53" s="520">
        <v>45</v>
      </c>
      <c r="C53" s="512" t="s">
        <v>363</v>
      </c>
      <c r="D53" s="513" t="s">
        <v>363</v>
      </c>
      <c r="E53" s="534"/>
      <c r="F53" s="487"/>
      <c r="G53" s="487"/>
      <c r="H53" s="10"/>
      <c r="I53" s="160"/>
      <c r="J53" s="10"/>
      <c r="K53" s="160"/>
      <c r="L53" s="10"/>
      <c r="M53" s="533"/>
      <c r="N53" s="160"/>
      <c r="O53" s="10"/>
    </row>
  </sheetData>
  <sheetProtection password="E074" sheet="1" objects="1" scenarios="1"/>
  <mergeCells count="132">
    <mergeCell ref="A27:G27"/>
    <mergeCell ref="B23:E23"/>
    <mergeCell ref="B22:E22"/>
    <mergeCell ref="I35:J35"/>
    <mergeCell ref="B25:E25"/>
    <mergeCell ref="B26:E26"/>
    <mergeCell ref="L8:M8"/>
    <mergeCell ref="H24:J24"/>
    <mergeCell ref="I42:J42"/>
    <mergeCell ref="K39:L39"/>
    <mergeCell ref="I39:J39"/>
    <mergeCell ref="L27:M27"/>
    <mergeCell ref="I40:J40"/>
    <mergeCell ref="H20:J20"/>
    <mergeCell ref="H15:J15"/>
    <mergeCell ref="L15:M15"/>
    <mergeCell ref="K35:L35"/>
    <mergeCell ref="N10:O10"/>
    <mergeCell ref="N21:O21"/>
    <mergeCell ref="N26:O26"/>
    <mergeCell ref="N25:O25"/>
    <mergeCell ref="N16:O16"/>
    <mergeCell ref="N23:O23"/>
    <mergeCell ref="N27:O27"/>
    <mergeCell ref="I44:J44"/>
    <mergeCell ref="K36:L36"/>
    <mergeCell ref="I43:J43"/>
    <mergeCell ref="H22:J22"/>
    <mergeCell ref="I41:J41"/>
    <mergeCell ref="I38:J38"/>
    <mergeCell ref="K37:L37"/>
    <mergeCell ref="I36:J36"/>
    <mergeCell ref="L24:M24"/>
    <mergeCell ref="K40:L40"/>
    <mergeCell ref="N22:O22"/>
    <mergeCell ref="L16:M16"/>
    <mergeCell ref="H32:O32"/>
    <mergeCell ref="F19:G19"/>
    <mergeCell ref="L25:M25"/>
    <mergeCell ref="N24:O24"/>
    <mergeCell ref="L23:M23"/>
    <mergeCell ref="L21:M21"/>
    <mergeCell ref="H21:J21"/>
    <mergeCell ref="L20:M20"/>
    <mergeCell ref="B12:E12"/>
    <mergeCell ref="B15:E15"/>
    <mergeCell ref="B17:E17"/>
    <mergeCell ref="F17:G17"/>
    <mergeCell ref="B16:E16"/>
    <mergeCell ref="B18:E18"/>
    <mergeCell ref="B20:E20"/>
    <mergeCell ref="B21:E21"/>
    <mergeCell ref="B24:E24"/>
    <mergeCell ref="B19:E19"/>
    <mergeCell ref="N14:O14"/>
    <mergeCell ref="L22:M22"/>
    <mergeCell ref="H31:O31"/>
    <mergeCell ref="L18:M18"/>
    <mergeCell ref="N19:O19"/>
    <mergeCell ref="H23:J23"/>
    <mergeCell ref="H28:K28"/>
    <mergeCell ref="N20:O20"/>
    <mergeCell ref="L28:O28"/>
    <mergeCell ref="H25:J25"/>
    <mergeCell ref="N11:O11"/>
    <mergeCell ref="L19:M19"/>
    <mergeCell ref="H11:J11"/>
    <mergeCell ref="N17:O17"/>
    <mergeCell ref="H18:J18"/>
    <mergeCell ref="N15:O15"/>
    <mergeCell ref="N12:O12"/>
    <mergeCell ref="H12:J12"/>
    <mergeCell ref="L17:M17"/>
    <mergeCell ref="N18:O18"/>
    <mergeCell ref="B10:E10"/>
    <mergeCell ref="N5:O5"/>
    <mergeCell ref="L13:M13"/>
    <mergeCell ref="H13:J13"/>
    <mergeCell ref="B13:E13"/>
    <mergeCell ref="L12:M12"/>
    <mergeCell ref="N13:O13"/>
    <mergeCell ref="N7:O7"/>
    <mergeCell ref="L7:M7"/>
    <mergeCell ref="L9:M9"/>
    <mergeCell ref="N9:O9"/>
    <mergeCell ref="H9:J9"/>
    <mergeCell ref="B9:E9"/>
    <mergeCell ref="N2:O2"/>
    <mergeCell ref="N4:O4"/>
    <mergeCell ref="H4:K4"/>
    <mergeCell ref="F4:G4"/>
    <mergeCell ref="N8:O8"/>
    <mergeCell ref="L6:M6"/>
    <mergeCell ref="H3:J3"/>
    <mergeCell ref="K38:L38"/>
    <mergeCell ref="F31:G31"/>
    <mergeCell ref="F26:G26"/>
    <mergeCell ref="I33:L33"/>
    <mergeCell ref="H27:K27"/>
    <mergeCell ref="L26:M26"/>
    <mergeCell ref="I37:J37"/>
    <mergeCell ref="I34:L34"/>
    <mergeCell ref="B28:G28"/>
    <mergeCell ref="F32:G32"/>
    <mergeCell ref="K44:L44"/>
    <mergeCell ref="K43:L43"/>
    <mergeCell ref="K42:L42"/>
    <mergeCell ref="K41:L41"/>
    <mergeCell ref="A2:B2"/>
    <mergeCell ref="A1:G1"/>
    <mergeCell ref="H7:J7"/>
    <mergeCell ref="B7:E7"/>
    <mergeCell ref="H6:J6"/>
    <mergeCell ref="B6:E6"/>
    <mergeCell ref="H2:I2"/>
    <mergeCell ref="H1:O1"/>
    <mergeCell ref="N6:O6"/>
    <mergeCell ref="L4:M4"/>
    <mergeCell ref="L11:M11"/>
    <mergeCell ref="B11:E11"/>
    <mergeCell ref="H8:J8"/>
    <mergeCell ref="F16:G16"/>
    <mergeCell ref="L14:M14"/>
    <mergeCell ref="H14:J14"/>
    <mergeCell ref="B14:E14"/>
    <mergeCell ref="L10:M10"/>
    <mergeCell ref="H10:J10"/>
    <mergeCell ref="B8:E8"/>
    <mergeCell ref="H5:J5"/>
    <mergeCell ref="B5:E5"/>
    <mergeCell ref="L5:M5"/>
    <mergeCell ref="B4:E4"/>
  </mergeCells>
  <printOptions/>
  <pageMargins left="0.7" right="0.7" top="0.75" bottom="0.75" header="0.3" footer="0.3"/>
  <pageSetup horizontalDpi="600" verticalDpi="600" orientation="portrait" scale="64"/>
  <headerFooter alignWithMargins="0">
    <oddHeader>&amp;C000000V. ORSZÁGOS TŰZOLTÓ FAVÁGÓ VERSENY</oddHeader>
    <oddFooter>&amp;L&amp;"Helvetica,Regular"&amp;11&amp;C000000.................................................................................................................&amp;R&amp;"Arial,Regular"&amp;10</oddFooter>
  </headerFooter>
  <rowBreaks count="1" manualBreakCount="1">
    <brk id="5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/>
  </sheetPr>
  <dimension ref="A1:O53"/>
  <sheetViews>
    <sheetView showGridLines="0" workbookViewId="0" topLeftCell="A1">
      <selection activeCell="A1" sqref="A1:G1"/>
    </sheetView>
  </sheetViews>
  <sheetFormatPr defaultColWidth="8.8515625" defaultRowHeight="12" customHeight="1"/>
  <cols>
    <col min="1" max="7" width="8.8515625" style="5" customWidth="1"/>
    <col min="8" max="9" width="7.140625" style="5" customWidth="1"/>
    <col min="10" max="11" width="7.28125" style="5" customWidth="1"/>
    <col min="12" max="16384" width="8.8515625" style="5" customWidth="1"/>
  </cols>
  <sheetData>
    <row r="1" spans="1:15" ht="45" customHeight="1">
      <c r="A1" s="923" t="s">
        <v>528</v>
      </c>
      <c r="B1" s="924"/>
      <c r="C1" s="924"/>
      <c r="D1" s="924"/>
      <c r="E1" s="924"/>
      <c r="F1" s="924"/>
      <c r="G1" s="925"/>
      <c r="H1" s="919" t="s">
        <v>221</v>
      </c>
      <c r="I1" s="920"/>
      <c r="J1" s="920"/>
      <c r="K1" s="1019"/>
      <c r="L1" s="1019"/>
      <c r="M1" s="920"/>
      <c r="N1" s="920"/>
      <c r="O1" s="921"/>
    </row>
    <row r="2" spans="1:15" ht="34.5" customHeight="1">
      <c r="A2" s="908" t="s">
        <v>347</v>
      </c>
      <c r="B2" s="909"/>
      <c r="C2" s="469"/>
      <c r="D2" s="470"/>
      <c r="E2" s="471" t="s">
        <v>348</v>
      </c>
      <c r="F2" s="406"/>
      <c r="G2" s="495"/>
      <c r="H2" s="1018" t="s">
        <v>220</v>
      </c>
      <c r="I2" s="909"/>
      <c r="J2" s="406"/>
      <c r="K2" s="406"/>
      <c r="L2" s="472"/>
      <c r="M2" s="472"/>
      <c r="N2" s="1038"/>
      <c r="O2" s="1039"/>
    </row>
    <row r="3" spans="1:15" ht="9" customHeight="1">
      <c r="A3" s="410"/>
      <c r="B3" s="496"/>
      <c r="C3" s="496"/>
      <c r="D3" s="496"/>
      <c r="E3" s="496"/>
      <c r="F3" s="410"/>
      <c r="G3" s="410"/>
      <c r="H3" s="1045"/>
      <c r="I3" s="1045"/>
      <c r="J3" s="412"/>
      <c r="K3" s="412"/>
      <c r="L3" s="1045"/>
      <c r="M3" s="1045"/>
      <c r="N3" s="1045"/>
      <c r="O3" s="1045"/>
    </row>
    <row r="4" spans="1:15" ht="24.75" customHeight="1">
      <c r="A4" s="535" t="s">
        <v>224</v>
      </c>
      <c r="B4" s="1072" t="s">
        <v>225</v>
      </c>
      <c r="C4" s="905"/>
      <c r="D4" s="905"/>
      <c r="E4" s="905"/>
      <c r="F4" s="536" t="s">
        <v>280</v>
      </c>
      <c r="G4" s="536"/>
      <c r="H4" s="1072" t="s">
        <v>227</v>
      </c>
      <c r="I4" s="905"/>
      <c r="J4" s="1021"/>
      <c r="K4" s="537"/>
      <c r="L4" s="1072" t="s">
        <v>367</v>
      </c>
      <c r="M4" s="905"/>
      <c r="N4" s="1072" t="s">
        <v>368</v>
      </c>
      <c r="O4" s="1077"/>
    </row>
    <row r="5" spans="1:15" ht="22.5" customHeight="1">
      <c r="A5" s="476" t="s">
        <v>301</v>
      </c>
      <c r="B5" s="910" t="s">
        <v>282</v>
      </c>
      <c r="C5" s="911"/>
      <c r="D5" s="911"/>
      <c r="E5" s="911"/>
      <c r="F5" s="497"/>
      <c r="G5" s="420" t="s">
        <v>283</v>
      </c>
      <c r="H5" s="1070"/>
      <c r="I5" s="1070"/>
      <c r="J5" s="1071"/>
      <c r="K5" s="538"/>
      <c r="L5" s="1073" t="s">
        <v>369</v>
      </c>
      <c r="M5" s="1074"/>
      <c r="N5" s="1075"/>
      <c r="O5" s="1076"/>
    </row>
    <row r="6" spans="1:15" ht="22.5" customHeight="1">
      <c r="A6" s="414">
        <v>20</v>
      </c>
      <c r="B6" s="910" t="s">
        <v>302</v>
      </c>
      <c r="C6" s="911"/>
      <c r="D6" s="911"/>
      <c r="E6" s="911"/>
      <c r="F6" s="499" t="s">
        <v>303</v>
      </c>
      <c r="G6" s="420" t="s">
        <v>269</v>
      </c>
      <c r="H6" s="1070"/>
      <c r="I6" s="1070"/>
      <c r="J6" s="1071"/>
      <c r="K6" s="538"/>
      <c r="L6" s="1073" t="s">
        <v>369</v>
      </c>
      <c r="M6" s="1074"/>
      <c r="N6" s="1075"/>
      <c r="O6" s="1076"/>
    </row>
    <row r="7" spans="1:15" ht="22.5" customHeight="1">
      <c r="A7" s="414">
        <v>80</v>
      </c>
      <c r="B7" s="910" t="s">
        <v>324</v>
      </c>
      <c r="C7" s="911"/>
      <c r="D7" s="911"/>
      <c r="E7" s="911"/>
      <c r="F7" s="539">
        <v>0</v>
      </c>
      <c r="G7" s="420" t="s">
        <v>242</v>
      </c>
      <c r="H7" s="1070"/>
      <c r="I7" s="1070"/>
      <c r="J7" s="1071"/>
      <c r="K7" s="538"/>
      <c r="L7" s="1073" t="s">
        <v>369</v>
      </c>
      <c r="M7" s="1074"/>
      <c r="N7" s="1070"/>
      <c r="O7" s="953"/>
    </row>
    <row r="8" spans="1:15" ht="22.5" customHeight="1">
      <c r="A8" s="476" t="s">
        <v>325</v>
      </c>
      <c r="B8" s="910" t="s">
        <v>326</v>
      </c>
      <c r="C8" s="911"/>
      <c r="D8" s="911"/>
      <c r="E8" s="911"/>
      <c r="F8" s="906" t="s">
        <v>247</v>
      </c>
      <c r="G8" s="907"/>
      <c r="H8" s="419" t="s">
        <v>286</v>
      </c>
      <c r="I8" s="478"/>
      <c r="J8" s="419" t="s">
        <v>287</v>
      </c>
      <c r="K8" s="479"/>
      <c r="L8" s="1073" t="s">
        <v>369</v>
      </c>
      <c r="M8" s="1074"/>
      <c r="N8" s="1073" t="s">
        <v>369</v>
      </c>
      <c r="O8" s="1078"/>
    </row>
    <row r="9" spans="1:15" ht="22.5" customHeight="1">
      <c r="A9" s="414">
        <v>20</v>
      </c>
      <c r="B9" s="910" t="s">
        <v>305</v>
      </c>
      <c r="C9" s="911"/>
      <c r="D9" s="911"/>
      <c r="E9" s="911"/>
      <c r="F9" s="499" t="s">
        <v>303</v>
      </c>
      <c r="G9" s="420" t="s">
        <v>269</v>
      </c>
      <c r="H9" s="1070"/>
      <c r="I9" s="1070"/>
      <c r="J9" s="1071"/>
      <c r="K9" s="538"/>
      <c r="L9" s="1073" t="s">
        <v>369</v>
      </c>
      <c r="M9" s="1074"/>
      <c r="N9" s="1070"/>
      <c r="O9" s="953"/>
    </row>
    <row r="10" spans="1:15" ht="22.5" customHeight="1">
      <c r="A10" s="414">
        <v>80</v>
      </c>
      <c r="B10" s="910" t="s">
        <v>327</v>
      </c>
      <c r="C10" s="911"/>
      <c r="D10" s="911"/>
      <c r="E10" s="911"/>
      <c r="F10" s="539">
        <v>0</v>
      </c>
      <c r="G10" s="420" t="s">
        <v>242</v>
      </c>
      <c r="H10" s="1070"/>
      <c r="I10" s="1070"/>
      <c r="J10" s="1071"/>
      <c r="K10" s="538"/>
      <c r="L10" s="1073" t="s">
        <v>369</v>
      </c>
      <c r="M10" s="1074"/>
      <c r="N10" s="1070"/>
      <c r="O10" s="953"/>
    </row>
    <row r="11" spans="1:15" ht="22.5" customHeight="1">
      <c r="A11" s="476" t="s">
        <v>325</v>
      </c>
      <c r="B11" s="910" t="s">
        <v>328</v>
      </c>
      <c r="C11" s="911"/>
      <c r="D11" s="911"/>
      <c r="E11" s="911"/>
      <c r="F11" s="906" t="s">
        <v>247</v>
      </c>
      <c r="G11" s="907"/>
      <c r="H11" s="419" t="s">
        <v>286</v>
      </c>
      <c r="I11" s="478"/>
      <c r="J11" s="419" t="s">
        <v>287</v>
      </c>
      <c r="K11" s="479"/>
      <c r="L11" s="1073" t="s">
        <v>369</v>
      </c>
      <c r="M11" s="1074"/>
      <c r="N11" s="1079" t="s">
        <v>369</v>
      </c>
      <c r="O11" s="1080"/>
    </row>
    <row r="12" spans="1:15" ht="22.5" customHeight="1">
      <c r="A12" s="414">
        <v>-20</v>
      </c>
      <c r="B12" s="910" t="s">
        <v>310</v>
      </c>
      <c r="C12" s="911"/>
      <c r="D12" s="911"/>
      <c r="E12" s="911"/>
      <c r="F12" s="539">
        <v>0</v>
      </c>
      <c r="G12" s="420" t="s">
        <v>256</v>
      </c>
      <c r="H12" s="1070"/>
      <c r="I12" s="1070"/>
      <c r="J12" s="1071"/>
      <c r="K12" s="538"/>
      <c r="L12" s="1070"/>
      <c r="M12" s="1070"/>
      <c r="N12" s="1073" t="s">
        <v>369</v>
      </c>
      <c r="O12" s="1078"/>
    </row>
    <row r="13" spans="1:15" ht="22.5" customHeight="1">
      <c r="A13" s="414">
        <v>-50</v>
      </c>
      <c r="B13" s="910" t="s">
        <v>313</v>
      </c>
      <c r="C13" s="911"/>
      <c r="D13" s="911"/>
      <c r="E13" s="911"/>
      <c r="F13" s="539">
        <v>0</v>
      </c>
      <c r="G13" s="420" t="s">
        <v>256</v>
      </c>
      <c r="H13" s="1070"/>
      <c r="I13" s="1070"/>
      <c r="J13" s="1071"/>
      <c r="K13" s="538"/>
      <c r="L13" s="1070"/>
      <c r="M13" s="1070"/>
      <c r="N13" s="1073" t="s">
        <v>369</v>
      </c>
      <c r="O13" s="1078"/>
    </row>
    <row r="14" spans="1:15" ht="22.5" customHeight="1">
      <c r="A14" s="414">
        <v>-50</v>
      </c>
      <c r="B14" s="910" t="s">
        <v>252</v>
      </c>
      <c r="C14" s="911"/>
      <c r="D14" s="911"/>
      <c r="E14" s="911"/>
      <c r="F14" s="906" t="s">
        <v>247</v>
      </c>
      <c r="G14" s="907"/>
      <c r="H14" s="419" t="s">
        <v>286</v>
      </c>
      <c r="I14" s="478"/>
      <c r="J14" s="419" t="s">
        <v>287</v>
      </c>
      <c r="K14" s="479"/>
      <c r="L14" s="1070"/>
      <c r="M14" s="1070"/>
      <c r="N14" s="1073" t="s">
        <v>369</v>
      </c>
      <c r="O14" s="1078"/>
    </row>
    <row r="15" spans="1:15" ht="22.5" customHeight="1">
      <c r="A15" s="414">
        <v>-30</v>
      </c>
      <c r="B15" s="910" t="s">
        <v>496</v>
      </c>
      <c r="C15" s="911"/>
      <c r="D15" s="911"/>
      <c r="E15" s="911"/>
      <c r="F15" s="906" t="s">
        <v>247</v>
      </c>
      <c r="G15" s="907"/>
      <c r="H15" s="419" t="s">
        <v>286</v>
      </c>
      <c r="I15" s="478"/>
      <c r="J15" s="419" t="s">
        <v>287</v>
      </c>
      <c r="K15" s="479"/>
      <c r="L15" s="1070"/>
      <c r="M15" s="1070"/>
      <c r="N15" s="1073" t="s">
        <v>369</v>
      </c>
      <c r="O15" s="1078"/>
    </row>
    <row r="16" spans="1:15" ht="22.5" customHeight="1">
      <c r="A16" s="414">
        <v>-30</v>
      </c>
      <c r="B16" s="927" t="s">
        <v>255</v>
      </c>
      <c r="C16" s="928"/>
      <c r="D16" s="928"/>
      <c r="E16" s="928"/>
      <c r="F16" s="540">
        <v>0</v>
      </c>
      <c r="G16" s="426" t="s">
        <v>256</v>
      </c>
      <c r="H16" s="1088"/>
      <c r="I16" s="1088"/>
      <c r="J16" s="1089"/>
      <c r="K16" s="538"/>
      <c r="L16" s="1070"/>
      <c r="M16" s="1070"/>
      <c r="N16" s="1073" t="s">
        <v>369</v>
      </c>
      <c r="O16" s="1078"/>
    </row>
    <row r="17" spans="1:15" ht="22.5" customHeight="1">
      <c r="A17" s="414">
        <v>-20</v>
      </c>
      <c r="B17" s="910" t="s">
        <v>257</v>
      </c>
      <c r="C17" s="911"/>
      <c r="D17" s="911"/>
      <c r="E17" s="911"/>
      <c r="F17" s="906" t="s">
        <v>247</v>
      </c>
      <c r="G17" s="907"/>
      <c r="H17" s="419" t="s">
        <v>286</v>
      </c>
      <c r="I17" s="478"/>
      <c r="J17" s="419" t="s">
        <v>287</v>
      </c>
      <c r="K17" s="479"/>
      <c r="L17" s="1070"/>
      <c r="M17" s="1070"/>
      <c r="N17" s="1073" t="s">
        <v>369</v>
      </c>
      <c r="O17" s="1078"/>
    </row>
    <row r="18" spans="1:15" ht="22.5" customHeight="1">
      <c r="A18" s="414">
        <v>-50</v>
      </c>
      <c r="B18" s="910" t="s">
        <v>329</v>
      </c>
      <c r="C18" s="911"/>
      <c r="D18" s="911"/>
      <c r="E18" s="911"/>
      <c r="F18" s="539">
        <v>0</v>
      </c>
      <c r="G18" s="420" t="s">
        <v>256</v>
      </c>
      <c r="H18" s="1070"/>
      <c r="I18" s="1070"/>
      <c r="J18" s="1071"/>
      <c r="K18" s="538"/>
      <c r="L18" s="1070"/>
      <c r="M18" s="1070"/>
      <c r="N18" s="1073" t="s">
        <v>369</v>
      </c>
      <c r="O18" s="1078"/>
    </row>
    <row r="19" spans="1:15" ht="22.5" customHeight="1">
      <c r="A19" s="414">
        <v>0</v>
      </c>
      <c r="B19" s="910" t="s">
        <v>330</v>
      </c>
      <c r="C19" s="911"/>
      <c r="D19" s="911"/>
      <c r="E19" s="911"/>
      <c r="F19" s="906" t="s">
        <v>247</v>
      </c>
      <c r="G19" s="907"/>
      <c r="H19" s="419" t="s">
        <v>286</v>
      </c>
      <c r="I19" s="478"/>
      <c r="J19" s="419" t="s">
        <v>287</v>
      </c>
      <c r="K19" s="479"/>
      <c r="L19" s="1070"/>
      <c r="M19" s="1070"/>
      <c r="N19" s="1073" t="s">
        <v>369</v>
      </c>
      <c r="O19" s="1078"/>
    </row>
    <row r="20" spans="1:15" ht="22.5" customHeight="1">
      <c r="A20" s="414">
        <v>-20</v>
      </c>
      <c r="B20" s="927" t="s">
        <v>260</v>
      </c>
      <c r="C20" s="928"/>
      <c r="D20" s="928"/>
      <c r="E20" s="928"/>
      <c r="F20" s="539">
        <v>0</v>
      </c>
      <c r="G20" s="420" t="s">
        <v>256</v>
      </c>
      <c r="H20" s="1070"/>
      <c r="I20" s="1070"/>
      <c r="J20" s="1071"/>
      <c r="K20" s="538"/>
      <c r="L20" s="1070"/>
      <c r="M20" s="1070"/>
      <c r="N20" s="1073" t="s">
        <v>369</v>
      </c>
      <c r="O20" s="1078"/>
    </row>
    <row r="21" spans="1:15" ht="22.5" customHeight="1">
      <c r="A21" s="414">
        <v>-50</v>
      </c>
      <c r="B21" s="910" t="s">
        <v>261</v>
      </c>
      <c r="C21" s="911"/>
      <c r="D21" s="911"/>
      <c r="E21" s="911"/>
      <c r="F21" s="539">
        <v>0</v>
      </c>
      <c r="G21" s="420" t="s">
        <v>256</v>
      </c>
      <c r="H21" s="1070"/>
      <c r="I21" s="1070"/>
      <c r="J21" s="1071"/>
      <c r="K21" s="538"/>
      <c r="L21" s="1070"/>
      <c r="M21" s="1070"/>
      <c r="N21" s="1073" t="s">
        <v>369</v>
      </c>
      <c r="O21" s="1078"/>
    </row>
    <row r="22" spans="1:15" ht="22.5" customHeight="1">
      <c r="A22" s="414">
        <v>-20</v>
      </c>
      <c r="B22" s="910" t="s">
        <v>262</v>
      </c>
      <c r="C22" s="911"/>
      <c r="D22" s="911"/>
      <c r="E22" s="911"/>
      <c r="F22" s="539">
        <v>0</v>
      </c>
      <c r="G22" s="420" t="s">
        <v>256</v>
      </c>
      <c r="H22" s="1070"/>
      <c r="I22" s="1070"/>
      <c r="J22" s="1071"/>
      <c r="K22" s="538"/>
      <c r="L22" s="1070"/>
      <c r="M22" s="1070"/>
      <c r="N22" s="1073" t="s">
        <v>369</v>
      </c>
      <c r="O22" s="1078"/>
    </row>
    <row r="23" spans="1:15" ht="22.5" customHeight="1">
      <c r="A23" s="414">
        <v>-20</v>
      </c>
      <c r="B23" s="910" t="s">
        <v>263</v>
      </c>
      <c r="C23" s="911"/>
      <c r="D23" s="911"/>
      <c r="E23" s="911"/>
      <c r="F23" s="539">
        <v>0</v>
      </c>
      <c r="G23" s="420" t="s">
        <v>256</v>
      </c>
      <c r="H23" s="1070"/>
      <c r="I23" s="1070"/>
      <c r="J23" s="1071"/>
      <c r="K23" s="538"/>
      <c r="L23" s="1070"/>
      <c r="M23" s="1070"/>
      <c r="N23" s="1073" t="s">
        <v>369</v>
      </c>
      <c r="O23" s="1078"/>
    </row>
    <row r="24" spans="1:15" ht="22.5" customHeight="1">
      <c r="A24" s="414">
        <v>-20</v>
      </c>
      <c r="B24" s="910" t="s">
        <v>264</v>
      </c>
      <c r="C24" s="911"/>
      <c r="D24" s="911"/>
      <c r="E24" s="911"/>
      <c r="F24" s="539">
        <v>0</v>
      </c>
      <c r="G24" s="420" t="s">
        <v>256</v>
      </c>
      <c r="H24" s="1070"/>
      <c r="I24" s="1070"/>
      <c r="J24" s="1071"/>
      <c r="K24" s="538"/>
      <c r="L24" s="1070"/>
      <c r="M24" s="1070"/>
      <c r="N24" s="1073" t="s">
        <v>369</v>
      </c>
      <c r="O24" s="1078"/>
    </row>
    <row r="25" spans="1:15" ht="22.5" customHeight="1">
      <c r="A25" s="414">
        <v>-50</v>
      </c>
      <c r="B25" s="910" t="s">
        <v>265</v>
      </c>
      <c r="C25" s="911"/>
      <c r="D25" s="911"/>
      <c r="E25" s="911"/>
      <c r="F25" s="539">
        <v>0</v>
      </c>
      <c r="G25" s="420" t="s">
        <v>256</v>
      </c>
      <c r="H25" s="1070"/>
      <c r="I25" s="1070"/>
      <c r="J25" s="1071"/>
      <c r="K25" s="538"/>
      <c r="L25" s="1070"/>
      <c r="M25" s="1070"/>
      <c r="N25" s="1073" t="s">
        <v>369</v>
      </c>
      <c r="O25" s="1078"/>
    </row>
    <row r="26" spans="1:15" ht="22.5" customHeight="1">
      <c r="A26" s="476" t="s">
        <v>314</v>
      </c>
      <c r="B26" s="910" t="s">
        <v>315</v>
      </c>
      <c r="C26" s="911"/>
      <c r="D26" s="911"/>
      <c r="E26" s="911"/>
      <c r="F26" s="906" t="s">
        <v>247</v>
      </c>
      <c r="G26" s="907"/>
      <c r="H26" s="419" t="s">
        <v>286</v>
      </c>
      <c r="I26" s="478"/>
      <c r="J26" s="419" t="s">
        <v>287</v>
      </c>
      <c r="K26" s="479"/>
      <c r="L26" s="1085"/>
      <c r="M26" s="1085"/>
      <c r="N26" s="1094" t="s">
        <v>369</v>
      </c>
      <c r="O26" s="1095"/>
    </row>
    <row r="27" spans="1:15" ht="31.5" customHeight="1">
      <c r="A27" s="541"/>
      <c r="B27" s="542"/>
      <c r="C27" s="542"/>
      <c r="D27" s="542"/>
      <c r="E27" s="542"/>
      <c r="F27" s="543"/>
      <c r="G27" s="544"/>
      <c r="H27" s="957" t="s">
        <v>266</v>
      </c>
      <c r="I27" s="1023"/>
      <c r="J27" s="1031"/>
      <c r="K27" s="1032"/>
      <c r="L27" s="1081"/>
      <c r="M27" s="1090"/>
      <c r="N27" s="1090"/>
      <c r="O27" s="1084"/>
    </row>
    <row r="28" spans="1:15" ht="34.5" customHeight="1">
      <c r="A28" s="500" t="s">
        <v>331</v>
      </c>
      <c r="B28" s="545"/>
      <c r="C28" s="546"/>
      <c r="D28" s="546"/>
      <c r="E28" s="546"/>
      <c r="F28" s="547"/>
      <c r="G28" s="548"/>
      <c r="H28" s="1086" t="s">
        <v>267</v>
      </c>
      <c r="I28" s="1087"/>
      <c r="J28" s="1087"/>
      <c r="K28" s="1051"/>
      <c r="L28" s="1081"/>
      <c r="M28" s="1082"/>
      <c r="N28" s="1083"/>
      <c r="O28" s="1084"/>
    </row>
    <row r="29" spans="1:15" ht="15" customHeight="1">
      <c r="A29" s="480" t="s">
        <v>317</v>
      </c>
      <c r="B29" s="481"/>
      <c r="C29" s="482"/>
      <c r="D29" s="482"/>
      <c r="E29" s="482"/>
      <c r="F29" s="549"/>
      <c r="G29" s="438"/>
      <c r="H29" s="484"/>
      <c r="I29" s="484"/>
      <c r="J29" s="484"/>
      <c r="K29" s="484"/>
      <c r="L29" s="484"/>
      <c r="M29" s="483"/>
      <c r="N29" s="483"/>
      <c r="O29" s="483"/>
    </row>
    <row r="30" spans="1:15" ht="15" customHeight="1">
      <c r="A30" s="550" t="s">
        <v>332</v>
      </c>
      <c r="B30" s="485"/>
      <c r="C30" s="485"/>
      <c r="D30" s="485"/>
      <c r="E30" s="485"/>
      <c r="F30" s="487"/>
      <c r="G30" s="487"/>
      <c r="H30" s="466"/>
      <c r="I30" s="487"/>
      <c r="J30" s="487"/>
      <c r="K30" s="487"/>
      <c r="L30" s="487"/>
      <c r="M30" s="487"/>
      <c r="N30" s="487"/>
      <c r="O30" s="487"/>
    </row>
    <row r="31" spans="1:15" ht="15" customHeight="1">
      <c r="A31" s="28" t="s">
        <v>529</v>
      </c>
      <c r="B31" s="551"/>
      <c r="C31" s="552"/>
      <c r="D31" s="551"/>
      <c r="E31" s="486"/>
      <c r="F31" s="233"/>
      <c r="G31" s="487"/>
      <c r="H31" s="553"/>
      <c r="I31" s="487"/>
      <c r="J31" s="487"/>
      <c r="K31" s="487"/>
      <c r="L31" s="487"/>
      <c r="M31" s="487"/>
      <c r="N31" s="487"/>
      <c r="O31" s="487"/>
    </row>
    <row r="32" spans="1:15" ht="20.25" customHeight="1">
      <c r="A32" s="939" t="s">
        <v>282</v>
      </c>
      <c r="B32" s="940"/>
      <c r="C32" s="940"/>
      <c r="D32" s="940"/>
      <c r="E32" s="939" t="s">
        <v>322</v>
      </c>
      <c r="F32" s="940"/>
      <c r="G32" s="940"/>
      <c r="H32" s="940"/>
      <c r="I32" s="1096" t="s">
        <v>499</v>
      </c>
      <c r="J32" s="1097"/>
      <c r="K32" s="554"/>
      <c r="L32" s="555" t="s">
        <v>501</v>
      </c>
      <c r="M32" s="556"/>
      <c r="N32" s="556"/>
      <c r="O32" s="556"/>
    </row>
    <row r="33" spans="1:15" ht="15" customHeight="1">
      <c r="A33" s="557" t="s">
        <v>283</v>
      </c>
      <c r="B33" s="489" t="s">
        <v>224</v>
      </c>
      <c r="C33" s="557" t="s">
        <v>283</v>
      </c>
      <c r="D33" s="558" t="s">
        <v>224</v>
      </c>
      <c r="E33" s="559" t="s">
        <v>242</v>
      </c>
      <c r="F33" s="489" t="s">
        <v>224</v>
      </c>
      <c r="G33" s="557" t="s">
        <v>242</v>
      </c>
      <c r="H33" s="558" t="s">
        <v>224</v>
      </c>
      <c r="I33" s="1092" t="s">
        <v>502</v>
      </c>
      <c r="J33" s="1093"/>
      <c r="K33" s="1023"/>
      <c r="L33" s="1023"/>
      <c r="M33" s="1093"/>
      <c r="N33" s="1093"/>
      <c r="O33" s="488" t="s">
        <v>224</v>
      </c>
    </row>
    <row r="34" spans="1:15" ht="13.5" customHeight="1">
      <c r="A34" s="560" t="s">
        <v>363</v>
      </c>
      <c r="B34" s="491" t="s">
        <v>363</v>
      </c>
      <c r="C34" s="561">
        <v>33</v>
      </c>
      <c r="D34" s="562">
        <v>44</v>
      </c>
      <c r="E34" s="563">
        <v>0</v>
      </c>
      <c r="F34" s="528">
        <v>80</v>
      </c>
      <c r="G34" s="561">
        <v>19</v>
      </c>
      <c r="H34" s="562">
        <v>42</v>
      </c>
      <c r="I34" s="1098" t="s">
        <v>505</v>
      </c>
      <c r="J34" s="1099"/>
      <c r="K34" s="1023"/>
      <c r="L34" s="1099"/>
      <c r="M34" s="1099"/>
      <c r="N34" s="564">
        <v>1</v>
      </c>
      <c r="O34" s="528">
        <v>20</v>
      </c>
    </row>
    <row r="35" spans="1:15" ht="12.75" customHeight="1">
      <c r="A35" s="561">
        <v>14</v>
      </c>
      <c r="B35" s="493">
        <v>63</v>
      </c>
      <c r="C35" s="561">
        <v>34</v>
      </c>
      <c r="D35" s="562">
        <v>43</v>
      </c>
      <c r="E35" s="565">
        <v>1</v>
      </c>
      <c r="F35" s="493">
        <v>78</v>
      </c>
      <c r="G35" s="561">
        <v>20</v>
      </c>
      <c r="H35" s="562">
        <v>40</v>
      </c>
      <c r="I35" s="1091" t="s">
        <v>506</v>
      </c>
      <c r="J35" s="1031"/>
      <c r="K35" s="1058"/>
      <c r="L35" s="952" t="s">
        <v>507</v>
      </c>
      <c r="M35" s="1070"/>
      <c r="N35" s="566">
        <v>1.5</v>
      </c>
      <c r="O35" s="493">
        <v>17</v>
      </c>
    </row>
    <row r="36" spans="1:15" ht="12.75" customHeight="1">
      <c r="A36" s="561">
        <v>15</v>
      </c>
      <c r="B36" s="493">
        <v>62</v>
      </c>
      <c r="C36" s="561">
        <v>35</v>
      </c>
      <c r="D36" s="562">
        <v>42</v>
      </c>
      <c r="E36" s="565">
        <v>2</v>
      </c>
      <c r="F36" s="493">
        <v>76</v>
      </c>
      <c r="G36" s="561">
        <v>21</v>
      </c>
      <c r="H36" s="562">
        <v>38</v>
      </c>
      <c r="I36" s="1091" t="s">
        <v>508</v>
      </c>
      <c r="J36" s="1031"/>
      <c r="K36" s="1058"/>
      <c r="L36" s="952" t="s">
        <v>509</v>
      </c>
      <c r="M36" s="1070"/>
      <c r="N36" s="566">
        <v>2</v>
      </c>
      <c r="O36" s="493">
        <v>14</v>
      </c>
    </row>
    <row r="37" spans="1:15" ht="12.75" customHeight="1">
      <c r="A37" s="561">
        <v>16</v>
      </c>
      <c r="B37" s="493">
        <v>61</v>
      </c>
      <c r="C37" s="561">
        <v>36</v>
      </c>
      <c r="D37" s="562">
        <v>41</v>
      </c>
      <c r="E37" s="565">
        <v>3</v>
      </c>
      <c r="F37" s="493">
        <v>74</v>
      </c>
      <c r="G37" s="561">
        <v>22</v>
      </c>
      <c r="H37" s="562">
        <v>36</v>
      </c>
      <c r="I37" s="1091" t="s">
        <v>510</v>
      </c>
      <c r="J37" s="1031"/>
      <c r="K37" s="1058"/>
      <c r="L37" s="952" t="s">
        <v>511</v>
      </c>
      <c r="M37" s="1070"/>
      <c r="N37" s="566">
        <v>2.5</v>
      </c>
      <c r="O37" s="493">
        <v>11</v>
      </c>
    </row>
    <row r="38" spans="1:15" ht="15" customHeight="1">
      <c r="A38" s="561">
        <v>17</v>
      </c>
      <c r="B38" s="493">
        <v>60</v>
      </c>
      <c r="C38" s="561">
        <v>37</v>
      </c>
      <c r="D38" s="562">
        <v>40</v>
      </c>
      <c r="E38" s="565">
        <v>4</v>
      </c>
      <c r="F38" s="493">
        <v>72</v>
      </c>
      <c r="G38" s="561">
        <v>23</v>
      </c>
      <c r="H38" s="562">
        <v>34</v>
      </c>
      <c r="I38" s="1091" t="s">
        <v>512</v>
      </c>
      <c r="J38" s="1031"/>
      <c r="K38" s="1058"/>
      <c r="L38" s="952" t="s">
        <v>513</v>
      </c>
      <c r="M38" s="1070"/>
      <c r="N38" s="566">
        <v>3</v>
      </c>
      <c r="O38" s="493">
        <v>8</v>
      </c>
    </row>
    <row r="39" spans="1:15" ht="15" customHeight="1">
      <c r="A39" s="561">
        <v>18</v>
      </c>
      <c r="B39" s="493">
        <v>59</v>
      </c>
      <c r="C39" s="561">
        <v>38</v>
      </c>
      <c r="D39" s="562">
        <v>39</v>
      </c>
      <c r="E39" s="565">
        <v>5</v>
      </c>
      <c r="F39" s="493">
        <v>70</v>
      </c>
      <c r="G39" s="561">
        <v>24</v>
      </c>
      <c r="H39" s="562">
        <v>32</v>
      </c>
      <c r="I39" s="1091" t="s">
        <v>514</v>
      </c>
      <c r="J39" s="1031"/>
      <c r="K39" s="1058"/>
      <c r="L39" s="952" t="s">
        <v>515</v>
      </c>
      <c r="M39" s="1070"/>
      <c r="N39" s="566">
        <v>3.5</v>
      </c>
      <c r="O39" s="493">
        <v>5</v>
      </c>
    </row>
    <row r="40" spans="1:15" ht="15" customHeight="1">
      <c r="A40" s="561">
        <v>19</v>
      </c>
      <c r="B40" s="493">
        <v>58</v>
      </c>
      <c r="C40" s="561">
        <v>39</v>
      </c>
      <c r="D40" s="562">
        <v>38</v>
      </c>
      <c r="E40" s="565">
        <v>6</v>
      </c>
      <c r="F40" s="493">
        <v>68</v>
      </c>
      <c r="G40" s="561">
        <v>25</v>
      </c>
      <c r="H40" s="562">
        <v>30</v>
      </c>
      <c r="I40" s="1091" t="s">
        <v>516</v>
      </c>
      <c r="J40" s="1031"/>
      <c r="K40" s="1058"/>
      <c r="L40" s="952" t="s">
        <v>517</v>
      </c>
      <c r="M40" s="1070"/>
      <c r="N40" s="566">
        <v>4</v>
      </c>
      <c r="O40" s="493">
        <v>2</v>
      </c>
    </row>
    <row r="41" spans="1:15" ht="12.75" customHeight="1">
      <c r="A41" s="561">
        <v>20</v>
      </c>
      <c r="B41" s="493">
        <v>57</v>
      </c>
      <c r="C41" s="561">
        <v>40</v>
      </c>
      <c r="D41" s="562">
        <v>37</v>
      </c>
      <c r="E41" s="565">
        <v>7</v>
      </c>
      <c r="F41" s="493">
        <v>66</v>
      </c>
      <c r="G41" s="561">
        <v>26</v>
      </c>
      <c r="H41" s="562">
        <v>28</v>
      </c>
      <c r="I41" s="1091" t="s">
        <v>530</v>
      </c>
      <c r="J41" s="1031"/>
      <c r="K41" s="1058"/>
      <c r="L41" s="952" t="s">
        <v>531</v>
      </c>
      <c r="M41" s="1070"/>
      <c r="N41" s="566">
        <v>4.5</v>
      </c>
      <c r="O41" s="493">
        <v>0</v>
      </c>
    </row>
    <row r="42" spans="1:15" ht="12.75" customHeight="1">
      <c r="A42" s="561">
        <v>21</v>
      </c>
      <c r="B42" s="493">
        <v>56</v>
      </c>
      <c r="C42" s="561">
        <v>41</v>
      </c>
      <c r="D42" s="562">
        <v>36</v>
      </c>
      <c r="E42" s="565">
        <v>8</v>
      </c>
      <c r="F42" s="493">
        <v>64</v>
      </c>
      <c r="G42" s="561">
        <v>27</v>
      </c>
      <c r="H42" s="562">
        <v>26</v>
      </c>
      <c r="I42" s="1100"/>
      <c r="J42" s="1101"/>
      <c r="K42" s="567"/>
      <c r="L42" s="1101"/>
      <c r="M42" s="1101"/>
      <c r="N42" s="568"/>
      <c r="O42" s="567"/>
    </row>
    <row r="43" spans="1:15" ht="13.5" customHeight="1">
      <c r="A43" s="561">
        <v>22</v>
      </c>
      <c r="B43" s="493">
        <v>55</v>
      </c>
      <c r="C43" s="561">
        <v>42</v>
      </c>
      <c r="D43" s="562">
        <v>35</v>
      </c>
      <c r="E43" s="565">
        <v>9</v>
      </c>
      <c r="F43" s="493">
        <v>62</v>
      </c>
      <c r="G43" s="561">
        <v>28</v>
      </c>
      <c r="H43" s="562">
        <v>24</v>
      </c>
      <c r="I43" s="569"/>
      <c r="J43" s="10"/>
      <c r="K43" s="10"/>
      <c r="L43" s="10"/>
      <c r="M43" s="10"/>
      <c r="N43" s="10"/>
      <c r="O43" s="10"/>
    </row>
    <row r="44" spans="1:15" ht="13.5" customHeight="1">
      <c r="A44" s="561">
        <v>23</v>
      </c>
      <c r="B44" s="493">
        <v>54</v>
      </c>
      <c r="C44" s="561">
        <v>43</v>
      </c>
      <c r="D44" s="562">
        <v>34</v>
      </c>
      <c r="E44" s="565">
        <v>10</v>
      </c>
      <c r="F44" s="493">
        <v>60</v>
      </c>
      <c r="G44" s="561">
        <v>29</v>
      </c>
      <c r="H44" s="562">
        <v>22</v>
      </c>
      <c r="I44" s="569"/>
      <c r="J44" s="10"/>
      <c r="K44" s="10"/>
      <c r="L44" s="10"/>
      <c r="M44" s="10"/>
      <c r="N44" s="10"/>
      <c r="O44" s="10"/>
    </row>
    <row r="45" spans="1:15" ht="13.5" customHeight="1">
      <c r="A45" s="561">
        <v>24</v>
      </c>
      <c r="B45" s="493">
        <v>53</v>
      </c>
      <c r="C45" s="561">
        <v>44</v>
      </c>
      <c r="D45" s="562">
        <v>33</v>
      </c>
      <c r="E45" s="565">
        <v>11</v>
      </c>
      <c r="F45" s="493">
        <v>58</v>
      </c>
      <c r="G45" s="561">
        <v>30</v>
      </c>
      <c r="H45" s="562">
        <v>20</v>
      </c>
      <c r="I45" s="569"/>
      <c r="J45" s="10"/>
      <c r="K45" s="10"/>
      <c r="L45" s="10"/>
      <c r="M45" s="10"/>
      <c r="N45" s="10"/>
      <c r="O45" s="10"/>
    </row>
    <row r="46" spans="1:15" ht="13.5" customHeight="1">
      <c r="A46" s="561">
        <v>25</v>
      </c>
      <c r="B46" s="493">
        <v>52</v>
      </c>
      <c r="C46" s="561">
        <v>45</v>
      </c>
      <c r="D46" s="562">
        <v>32</v>
      </c>
      <c r="E46" s="565">
        <v>12</v>
      </c>
      <c r="F46" s="493">
        <v>56</v>
      </c>
      <c r="G46" s="561">
        <v>31</v>
      </c>
      <c r="H46" s="562">
        <v>18</v>
      </c>
      <c r="I46" s="569"/>
      <c r="J46" s="10"/>
      <c r="K46" s="10"/>
      <c r="L46" s="10"/>
      <c r="M46" s="10"/>
      <c r="N46" s="10"/>
      <c r="O46" s="10"/>
    </row>
    <row r="47" spans="1:15" ht="13.5" customHeight="1">
      <c r="A47" s="561">
        <v>26</v>
      </c>
      <c r="B47" s="493">
        <v>51</v>
      </c>
      <c r="C47" s="561">
        <v>46</v>
      </c>
      <c r="D47" s="562">
        <v>31</v>
      </c>
      <c r="E47" s="565">
        <v>13</v>
      </c>
      <c r="F47" s="493">
        <v>54</v>
      </c>
      <c r="G47" s="561">
        <v>32</v>
      </c>
      <c r="H47" s="562">
        <v>16</v>
      </c>
      <c r="I47" s="569"/>
      <c r="J47" s="10"/>
      <c r="K47" s="10"/>
      <c r="L47" s="10"/>
      <c r="M47" s="10"/>
      <c r="N47" s="10"/>
      <c r="O47" s="10"/>
    </row>
    <row r="48" spans="1:15" ht="13.5" customHeight="1">
      <c r="A48" s="570">
        <v>27</v>
      </c>
      <c r="B48" s="492">
        <v>50</v>
      </c>
      <c r="C48" s="561">
        <v>47</v>
      </c>
      <c r="D48" s="562">
        <v>30</v>
      </c>
      <c r="E48" s="565">
        <v>14</v>
      </c>
      <c r="F48" s="493">
        <v>52</v>
      </c>
      <c r="G48" s="561">
        <v>33</v>
      </c>
      <c r="H48" s="562">
        <v>14</v>
      </c>
      <c r="I48" s="569"/>
      <c r="J48" s="10"/>
      <c r="K48" s="10"/>
      <c r="L48" s="10"/>
      <c r="M48" s="10"/>
      <c r="N48" s="10"/>
      <c r="O48" s="10"/>
    </row>
    <row r="49" spans="1:15" ht="13.5" customHeight="1">
      <c r="A49" s="561">
        <v>28</v>
      </c>
      <c r="B49" s="493">
        <v>49</v>
      </c>
      <c r="C49" s="561">
        <v>48</v>
      </c>
      <c r="D49" s="562">
        <v>29</v>
      </c>
      <c r="E49" s="571">
        <v>15</v>
      </c>
      <c r="F49" s="572">
        <v>50</v>
      </c>
      <c r="G49" s="573">
        <v>34</v>
      </c>
      <c r="H49" s="574">
        <v>12</v>
      </c>
      <c r="I49" s="569"/>
      <c r="J49" s="10"/>
      <c r="K49" s="10"/>
      <c r="L49" s="10"/>
      <c r="M49" s="10"/>
      <c r="N49" s="10"/>
      <c r="O49" s="10"/>
    </row>
    <row r="50" spans="1:15" ht="13.5" customHeight="1">
      <c r="A50" s="561">
        <v>29</v>
      </c>
      <c r="B50" s="493">
        <v>48</v>
      </c>
      <c r="C50" s="561">
        <v>49</v>
      </c>
      <c r="D50" s="562">
        <v>28</v>
      </c>
      <c r="E50" s="571">
        <v>16</v>
      </c>
      <c r="F50" s="572">
        <v>48</v>
      </c>
      <c r="G50" s="573">
        <v>35</v>
      </c>
      <c r="H50" s="574">
        <v>10</v>
      </c>
      <c r="I50" s="569"/>
      <c r="J50" s="10"/>
      <c r="K50" s="10"/>
      <c r="L50" s="10"/>
      <c r="M50" s="10"/>
      <c r="N50" s="10"/>
      <c r="O50" s="10"/>
    </row>
    <row r="51" spans="1:15" ht="13.5" customHeight="1">
      <c r="A51" s="561">
        <v>30</v>
      </c>
      <c r="B51" s="493">
        <v>47</v>
      </c>
      <c r="C51" s="561">
        <v>50</v>
      </c>
      <c r="D51" s="562">
        <v>27</v>
      </c>
      <c r="E51" s="571">
        <v>17</v>
      </c>
      <c r="F51" s="572">
        <v>46</v>
      </c>
      <c r="G51" s="573">
        <v>36</v>
      </c>
      <c r="H51" s="574">
        <v>8</v>
      </c>
      <c r="I51" s="569"/>
      <c r="J51" s="10"/>
      <c r="K51" s="10"/>
      <c r="L51" s="10"/>
      <c r="M51" s="10"/>
      <c r="N51" s="10"/>
      <c r="O51" s="10"/>
    </row>
    <row r="52" spans="1:15" ht="13.5" customHeight="1">
      <c r="A52" s="561">
        <v>31</v>
      </c>
      <c r="B52" s="493">
        <v>46</v>
      </c>
      <c r="C52" s="561">
        <v>51</v>
      </c>
      <c r="D52" s="562">
        <v>26</v>
      </c>
      <c r="E52" s="571">
        <v>18</v>
      </c>
      <c r="F52" s="572">
        <v>44</v>
      </c>
      <c r="G52" s="560" t="s">
        <v>363</v>
      </c>
      <c r="H52" s="575" t="s">
        <v>363</v>
      </c>
      <c r="I52" s="569"/>
      <c r="J52" s="10"/>
      <c r="K52" s="10"/>
      <c r="L52" s="10"/>
      <c r="M52" s="10"/>
      <c r="N52" s="10"/>
      <c r="O52" s="10"/>
    </row>
    <row r="53" spans="1:15" ht="15" customHeight="1">
      <c r="A53" s="561">
        <v>32</v>
      </c>
      <c r="B53" s="493">
        <v>45</v>
      </c>
      <c r="C53" s="560" t="s">
        <v>363</v>
      </c>
      <c r="D53" s="576" t="s">
        <v>363</v>
      </c>
      <c r="E53" s="577"/>
      <c r="F53" s="578"/>
      <c r="G53" s="530"/>
      <c r="H53" s="578"/>
      <c r="I53" s="10"/>
      <c r="J53" s="10"/>
      <c r="K53" s="10"/>
      <c r="L53" s="10"/>
      <c r="M53" s="10"/>
      <c r="N53" s="10"/>
      <c r="O53" s="10"/>
    </row>
  </sheetData>
  <sheetProtection password="E074" sheet="1" objects="1" scenarios="1"/>
  <mergeCells count="126">
    <mergeCell ref="I42:J42"/>
    <mergeCell ref="L40:M40"/>
    <mergeCell ref="I40:K40"/>
    <mergeCell ref="N16:O16"/>
    <mergeCell ref="L42:M42"/>
    <mergeCell ref="L41:M41"/>
    <mergeCell ref="N23:O23"/>
    <mergeCell ref="N22:O22"/>
    <mergeCell ref="L39:M39"/>
    <mergeCell ref="L38:M38"/>
    <mergeCell ref="L37:M37"/>
    <mergeCell ref="I32:J32"/>
    <mergeCell ref="I39:K39"/>
    <mergeCell ref="L36:M36"/>
    <mergeCell ref="I34:M34"/>
    <mergeCell ref="I36:K36"/>
    <mergeCell ref="I38:K38"/>
    <mergeCell ref="L4:M4"/>
    <mergeCell ref="H20:J20"/>
    <mergeCell ref="N13:O13"/>
    <mergeCell ref="N26:O26"/>
    <mergeCell ref="L21:M21"/>
    <mergeCell ref="H25:J25"/>
    <mergeCell ref="N25:O25"/>
    <mergeCell ref="N20:O20"/>
    <mergeCell ref="N14:O14"/>
    <mergeCell ref="L22:M22"/>
    <mergeCell ref="I35:K35"/>
    <mergeCell ref="N15:O15"/>
    <mergeCell ref="L23:M23"/>
    <mergeCell ref="F26:G26"/>
    <mergeCell ref="H23:J23"/>
    <mergeCell ref="L20:M20"/>
    <mergeCell ref="N19:O19"/>
    <mergeCell ref="I33:N33"/>
    <mergeCell ref="A32:D32"/>
    <mergeCell ref="B21:E21"/>
    <mergeCell ref="B26:E26"/>
    <mergeCell ref="B20:E20"/>
    <mergeCell ref="H7:J7"/>
    <mergeCell ref="H6:J6"/>
    <mergeCell ref="I41:K41"/>
    <mergeCell ref="N21:O21"/>
    <mergeCell ref="I37:K37"/>
    <mergeCell ref="N17:O17"/>
    <mergeCell ref="L25:M25"/>
    <mergeCell ref="L24:M24"/>
    <mergeCell ref="L35:M35"/>
    <mergeCell ref="N27:O27"/>
    <mergeCell ref="L19:M19"/>
    <mergeCell ref="H21:J21"/>
    <mergeCell ref="H16:J16"/>
    <mergeCell ref="H27:K27"/>
    <mergeCell ref="H22:J22"/>
    <mergeCell ref="L27:M27"/>
    <mergeCell ref="E32:H32"/>
    <mergeCell ref="L28:M28"/>
    <mergeCell ref="N28:O28"/>
    <mergeCell ref="N24:O24"/>
    <mergeCell ref="B24:E24"/>
    <mergeCell ref="L26:M26"/>
    <mergeCell ref="H28:K28"/>
    <mergeCell ref="F8:G8"/>
    <mergeCell ref="F14:G14"/>
    <mergeCell ref="B14:E14"/>
    <mergeCell ref="B9:E9"/>
    <mergeCell ref="B8:E8"/>
    <mergeCell ref="B10:E10"/>
    <mergeCell ref="N9:O9"/>
    <mergeCell ref="L17:M17"/>
    <mergeCell ref="H9:J9"/>
    <mergeCell ref="F17:G17"/>
    <mergeCell ref="N12:O12"/>
    <mergeCell ref="L10:M10"/>
    <mergeCell ref="H10:J10"/>
    <mergeCell ref="F15:G15"/>
    <mergeCell ref="L14:M14"/>
    <mergeCell ref="L9:M9"/>
    <mergeCell ref="B17:E17"/>
    <mergeCell ref="L16:M16"/>
    <mergeCell ref="B16:E16"/>
    <mergeCell ref="L11:M11"/>
    <mergeCell ref="L12:M12"/>
    <mergeCell ref="H12:J12"/>
    <mergeCell ref="B12:E12"/>
    <mergeCell ref="B15:E15"/>
    <mergeCell ref="L15:M15"/>
    <mergeCell ref="B13:E13"/>
    <mergeCell ref="N11:O11"/>
    <mergeCell ref="F11:G11"/>
    <mergeCell ref="B11:E11"/>
    <mergeCell ref="L18:M18"/>
    <mergeCell ref="N10:O10"/>
    <mergeCell ref="L13:M13"/>
    <mergeCell ref="H13:J13"/>
    <mergeCell ref="N18:O18"/>
    <mergeCell ref="H18:J18"/>
    <mergeCell ref="N8:O8"/>
    <mergeCell ref="L7:M7"/>
    <mergeCell ref="N7:O7"/>
    <mergeCell ref="N6:O6"/>
    <mergeCell ref="L8:M8"/>
    <mergeCell ref="L6:M6"/>
    <mergeCell ref="B22:E22"/>
    <mergeCell ref="B18:E18"/>
    <mergeCell ref="B25:E25"/>
    <mergeCell ref="H24:J24"/>
    <mergeCell ref="B23:E23"/>
    <mergeCell ref="F19:G19"/>
    <mergeCell ref="B19:E19"/>
    <mergeCell ref="B7:E7"/>
    <mergeCell ref="B6:E6"/>
    <mergeCell ref="H1:O1"/>
    <mergeCell ref="L5:M5"/>
    <mergeCell ref="N2:O2"/>
    <mergeCell ref="L3:O3"/>
    <mergeCell ref="N5:O5"/>
    <mergeCell ref="H3:I3"/>
    <mergeCell ref="N4:O4"/>
    <mergeCell ref="H4:J4"/>
    <mergeCell ref="A2:B2"/>
    <mergeCell ref="A1:G1"/>
    <mergeCell ref="H5:J5"/>
    <mergeCell ref="B5:E5"/>
    <mergeCell ref="B4:E4"/>
    <mergeCell ref="H2:I2"/>
  </mergeCells>
  <printOptions/>
  <pageMargins left="0.7000000000000001" right="0.7000000000000001" top="0.7500000000000001" bottom="0.7500000000000001" header="0.30000000000000004" footer="0.30000000000000004"/>
  <pageSetup horizontalDpi="600" verticalDpi="600" orientation="portrait" scale="65"/>
  <headerFooter alignWithMargins="0">
    <oddHeader>&amp;C000000V. ORSZÁGOS TŰZOLTÓ FAVÁGÓ VERSENY</oddHeader>
    <oddFooter>&amp;L&amp;"Helvetica,Regular"&amp;11&amp;C000000................................................................................................&amp;R&amp;"Arial,Regular"&amp;10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/>
  </sheetPr>
  <dimension ref="A1:P54"/>
  <sheetViews>
    <sheetView showGridLines="0" workbookViewId="0" topLeftCell="A1">
      <selection activeCell="W38" sqref="W38"/>
    </sheetView>
  </sheetViews>
  <sheetFormatPr defaultColWidth="9.8515625" defaultRowHeight="12" customHeight="1"/>
  <cols>
    <col min="1" max="8" width="6.8515625" style="5" customWidth="1"/>
    <col min="9" max="10" width="5.8515625" style="5" customWidth="1"/>
    <col min="11" max="12" width="5.7109375" style="5" customWidth="1"/>
    <col min="13" max="13" width="6.8515625" style="5" customWidth="1"/>
    <col min="14" max="14" width="7.421875" style="5" customWidth="1"/>
    <col min="15" max="15" width="6.8515625" style="5" customWidth="1"/>
    <col min="16" max="16" width="7.8515625" style="5" customWidth="1"/>
    <col min="17" max="16384" width="9.8515625" style="5" customWidth="1"/>
  </cols>
  <sheetData>
    <row r="1" spans="1:16" ht="43.5" customHeight="1">
      <c r="A1" s="923" t="s">
        <v>532</v>
      </c>
      <c r="B1" s="924"/>
      <c r="C1" s="924"/>
      <c r="D1" s="924"/>
      <c r="E1" s="924"/>
      <c r="F1" s="924"/>
      <c r="G1" s="924"/>
      <c r="H1" s="925"/>
      <c r="I1" s="919" t="s">
        <v>221</v>
      </c>
      <c r="J1" s="920"/>
      <c r="K1" s="920"/>
      <c r="L1" s="1019"/>
      <c r="M1" s="1019"/>
      <c r="N1" s="920"/>
      <c r="O1" s="920"/>
      <c r="P1" s="921"/>
    </row>
    <row r="2" spans="1:16" ht="34.5" customHeight="1">
      <c r="A2" s="908" t="s">
        <v>347</v>
      </c>
      <c r="B2" s="909"/>
      <c r="C2" s="402"/>
      <c r="D2" s="403"/>
      <c r="E2" s="404" t="s">
        <v>348</v>
      </c>
      <c r="F2" s="405"/>
      <c r="G2" s="406"/>
      <c r="H2" s="407"/>
      <c r="I2" s="404" t="s">
        <v>220</v>
      </c>
      <c r="J2" s="406"/>
      <c r="K2" s="408"/>
      <c r="L2" s="408"/>
      <c r="M2" s="408"/>
      <c r="N2" s="922"/>
      <c r="O2" s="922"/>
      <c r="P2" s="409"/>
    </row>
    <row r="3" spans="1:16" ht="9" customHeight="1">
      <c r="A3" s="473"/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</row>
    <row r="4" spans="1:16" ht="24.75" customHeight="1">
      <c r="A4" s="413" t="s">
        <v>224</v>
      </c>
      <c r="B4" s="904" t="s">
        <v>225</v>
      </c>
      <c r="C4" s="905"/>
      <c r="D4" s="905"/>
      <c r="E4" s="905"/>
      <c r="F4" s="905"/>
      <c r="G4" s="904"/>
      <c r="H4" s="926"/>
      <c r="I4" s="904" t="s">
        <v>227</v>
      </c>
      <c r="J4" s="905"/>
      <c r="K4" s="1021"/>
      <c r="L4" s="475"/>
      <c r="M4" s="904" t="s">
        <v>367</v>
      </c>
      <c r="N4" s="905"/>
      <c r="O4" s="947" t="s">
        <v>368</v>
      </c>
      <c r="P4" s="948"/>
    </row>
    <row r="5" spans="1:16" ht="21.75" customHeight="1">
      <c r="A5" s="414">
        <v>200</v>
      </c>
      <c r="B5" s="910" t="s">
        <v>336</v>
      </c>
      <c r="C5" s="911"/>
      <c r="D5" s="911"/>
      <c r="E5" s="911"/>
      <c r="F5" s="911"/>
      <c r="G5" s="906" t="s">
        <v>337</v>
      </c>
      <c r="H5" s="907"/>
      <c r="I5" s="1013"/>
      <c r="J5" s="1013"/>
      <c r="K5" s="1014"/>
      <c r="L5" s="498"/>
      <c r="M5" s="931" t="s">
        <v>369</v>
      </c>
      <c r="N5" s="1115"/>
      <c r="O5" s="1013"/>
      <c r="P5" s="1116"/>
    </row>
    <row r="6" spans="1:16" ht="21.75" customHeight="1">
      <c r="A6" s="476" t="s">
        <v>316</v>
      </c>
      <c r="B6" s="910" t="s">
        <v>282</v>
      </c>
      <c r="C6" s="911"/>
      <c r="D6" s="911"/>
      <c r="E6" s="911"/>
      <c r="F6" s="911"/>
      <c r="G6" s="419" t="s">
        <v>230</v>
      </c>
      <c r="H6" s="419" t="s">
        <v>283</v>
      </c>
      <c r="I6" s="1013"/>
      <c r="J6" s="1013"/>
      <c r="K6" s="1014"/>
      <c r="L6" s="498"/>
      <c r="M6" s="931" t="s">
        <v>369</v>
      </c>
      <c r="N6" s="1115"/>
      <c r="O6" s="1013"/>
      <c r="P6" s="1116"/>
    </row>
    <row r="7" spans="1:16" ht="21.75" customHeight="1">
      <c r="A7" s="414">
        <v>-30</v>
      </c>
      <c r="B7" s="910" t="s">
        <v>339</v>
      </c>
      <c r="C7" s="911"/>
      <c r="D7" s="911"/>
      <c r="E7" s="911"/>
      <c r="F7" s="911"/>
      <c r="G7" s="430">
        <v>0</v>
      </c>
      <c r="H7" s="419" t="s">
        <v>256</v>
      </c>
      <c r="I7" s="1013"/>
      <c r="J7" s="1013"/>
      <c r="K7" s="1014"/>
      <c r="L7" s="498"/>
      <c r="M7" s="1013"/>
      <c r="N7" s="1013"/>
      <c r="O7" s="931" t="s">
        <v>369</v>
      </c>
      <c r="P7" s="932"/>
    </row>
    <row r="8" spans="1:16" ht="21.75" customHeight="1">
      <c r="A8" s="414">
        <v>-20</v>
      </c>
      <c r="B8" s="910" t="s">
        <v>340</v>
      </c>
      <c r="C8" s="911"/>
      <c r="D8" s="911"/>
      <c r="E8" s="911"/>
      <c r="F8" s="911"/>
      <c r="G8" s="430">
        <v>0</v>
      </c>
      <c r="H8" s="419" t="s">
        <v>256</v>
      </c>
      <c r="I8" s="1013"/>
      <c r="J8" s="1013"/>
      <c r="K8" s="1014"/>
      <c r="L8" s="498"/>
      <c r="M8" s="1013"/>
      <c r="N8" s="1013"/>
      <c r="O8" s="931" t="s">
        <v>369</v>
      </c>
      <c r="P8" s="932"/>
    </row>
    <row r="9" spans="1:16" ht="21.75" customHeight="1">
      <c r="A9" s="414">
        <v>-20</v>
      </c>
      <c r="B9" s="910" t="s">
        <v>341</v>
      </c>
      <c r="C9" s="911"/>
      <c r="D9" s="911"/>
      <c r="E9" s="911"/>
      <c r="F9" s="911"/>
      <c r="G9" s="430">
        <v>0</v>
      </c>
      <c r="H9" s="419" t="s">
        <v>256</v>
      </c>
      <c r="I9" s="1013"/>
      <c r="J9" s="1013"/>
      <c r="K9" s="1014"/>
      <c r="L9" s="498"/>
      <c r="M9" s="1013"/>
      <c r="N9" s="1013"/>
      <c r="O9" s="931" t="s">
        <v>369</v>
      </c>
      <c r="P9" s="932"/>
    </row>
    <row r="10" spans="1:16" ht="21.75" customHeight="1">
      <c r="A10" s="414">
        <v>-40</v>
      </c>
      <c r="B10" s="910" t="s">
        <v>342</v>
      </c>
      <c r="C10" s="911"/>
      <c r="D10" s="911"/>
      <c r="E10" s="911"/>
      <c r="F10" s="911"/>
      <c r="G10" s="430">
        <v>0</v>
      </c>
      <c r="H10" s="419" t="s">
        <v>256</v>
      </c>
      <c r="I10" s="1013"/>
      <c r="J10" s="1013"/>
      <c r="K10" s="1014"/>
      <c r="L10" s="498"/>
      <c r="M10" s="1013"/>
      <c r="N10" s="1013"/>
      <c r="O10" s="931" t="s">
        <v>369</v>
      </c>
      <c r="P10" s="932"/>
    </row>
    <row r="11" spans="1:16" ht="21.75" customHeight="1">
      <c r="A11" s="414">
        <v>-20</v>
      </c>
      <c r="B11" s="910" t="s">
        <v>343</v>
      </c>
      <c r="C11" s="911"/>
      <c r="D11" s="911"/>
      <c r="E11" s="911"/>
      <c r="F11" s="911"/>
      <c r="G11" s="430">
        <v>0</v>
      </c>
      <c r="H11" s="419" t="s">
        <v>256</v>
      </c>
      <c r="I11" s="1013"/>
      <c r="J11" s="1013"/>
      <c r="K11" s="1014"/>
      <c r="L11" s="498"/>
      <c r="M11" s="1013"/>
      <c r="N11" s="1013"/>
      <c r="O11" s="931" t="s">
        <v>369</v>
      </c>
      <c r="P11" s="932"/>
    </row>
    <row r="12" spans="1:16" ht="21.75" customHeight="1">
      <c r="A12" s="414">
        <v>-50</v>
      </c>
      <c r="B12" s="910" t="s">
        <v>252</v>
      </c>
      <c r="C12" s="911"/>
      <c r="D12" s="911"/>
      <c r="E12" s="911"/>
      <c r="F12" s="911"/>
      <c r="G12" s="906" t="s">
        <v>247</v>
      </c>
      <c r="H12" s="907"/>
      <c r="I12" s="419" t="s">
        <v>286</v>
      </c>
      <c r="J12" s="478"/>
      <c r="K12" s="419" t="s">
        <v>287</v>
      </c>
      <c r="L12" s="479"/>
      <c r="M12" s="1013"/>
      <c r="N12" s="1013"/>
      <c r="O12" s="931" t="s">
        <v>369</v>
      </c>
      <c r="P12" s="932"/>
    </row>
    <row r="13" spans="1:16" ht="21.75" customHeight="1">
      <c r="A13" s="414">
        <v>-30</v>
      </c>
      <c r="B13" s="910" t="s">
        <v>253</v>
      </c>
      <c r="C13" s="911"/>
      <c r="D13" s="911"/>
      <c r="E13" s="911"/>
      <c r="F13" s="911"/>
      <c r="G13" s="906" t="s">
        <v>247</v>
      </c>
      <c r="H13" s="907"/>
      <c r="I13" s="419" t="s">
        <v>286</v>
      </c>
      <c r="J13" s="478"/>
      <c r="K13" s="419" t="s">
        <v>287</v>
      </c>
      <c r="L13" s="479"/>
      <c r="M13" s="1013"/>
      <c r="N13" s="1013"/>
      <c r="O13" s="931" t="s">
        <v>369</v>
      </c>
      <c r="P13" s="932"/>
    </row>
    <row r="14" spans="1:16" ht="21.75" customHeight="1">
      <c r="A14" s="414">
        <v>-30</v>
      </c>
      <c r="B14" s="927" t="s">
        <v>255</v>
      </c>
      <c r="C14" s="928"/>
      <c r="D14" s="928"/>
      <c r="E14" s="928"/>
      <c r="F14" s="928"/>
      <c r="G14" s="428">
        <v>0</v>
      </c>
      <c r="H14" s="429" t="s">
        <v>256</v>
      </c>
      <c r="I14" s="579"/>
      <c r="J14" s="580"/>
      <c r="K14" s="581"/>
      <c r="L14" s="582"/>
      <c r="M14" s="1013"/>
      <c r="N14" s="1013"/>
      <c r="O14" s="931" t="s">
        <v>369</v>
      </c>
      <c r="P14" s="932"/>
    </row>
    <row r="15" spans="1:16" ht="21.75" customHeight="1">
      <c r="A15" s="414">
        <v>-20</v>
      </c>
      <c r="B15" s="910" t="s">
        <v>257</v>
      </c>
      <c r="C15" s="911"/>
      <c r="D15" s="911"/>
      <c r="E15" s="911"/>
      <c r="F15" s="911"/>
      <c r="G15" s="906" t="s">
        <v>247</v>
      </c>
      <c r="H15" s="907"/>
      <c r="I15" s="419" t="s">
        <v>286</v>
      </c>
      <c r="J15" s="478"/>
      <c r="K15" s="419" t="s">
        <v>287</v>
      </c>
      <c r="L15" s="479"/>
      <c r="M15" s="1013"/>
      <c r="N15" s="1013"/>
      <c r="O15" s="931" t="s">
        <v>369</v>
      </c>
      <c r="P15" s="932"/>
    </row>
    <row r="16" spans="1:16" ht="21.75" customHeight="1">
      <c r="A16" s="414">
        <v>-20</v>
      </c>
      <c r="B16" s="927" t="s">
        <v>260</v>
      </c>
      <c r="C16" s="928"/>
      <c r="D16" s="928"/>
      <c r="E16" s="928"/>
      <c r="F16" s="928"/>
      <c r="G16" s="430">
        <v>0</v>
      </c>
      <c r="H16" s="419" t="s">
        <v>256</v>
      </c>
      <c r="I16" s="1013"/>
      <c r="J16" s="1013"/>
      <c r="K16" s="1014"/>
      <c r="L16" s="498"/>
      <c r="M16" s="1013"/>
      <c r="N16" s="1013"/>
      <c r="O16" s="931" t="s">
        <v>369</v>
      </c>
      <c r="P16" s="932"/>
    </row>
    <row r="17" spans="1:16" ht="21.75" customHeight="1">
      <c r="A17" s="414">
        <v>-50</v>
      </c>
      <c r="B17" s="910" t="s">
        <v>261</v>
      </c>
      <c r="C17" s="911"/>
      <c r="D17" s="911"/>
      <c r="E17" s="911"/>
      <c r="F17" s="911"/>
      <c r="G17" s="430">
        <v>0</v>
      </c>
      <c r="H17" s="419" t="s">
        <v>256</v>
      </c>
      <c r="I17" s="1013"/>
      <c r="J17" s="1013"/>
      <c r="K17" s="1014"/>
      <c r="L17" s="498"/>
      <c r="M17" s="1013"/>
      <c r="N17" s="1013"/>
      <c r="O17" s="931" t="s">
        <v>369</v>
      </c>
      <c r="P17" s="932"/>
    </row>
    <row r="18" spans="1:16" ht="21.75" customHeight="1">
      <c r="A18" s="414">
        <v>-20</v>
      </c>
      <c r="B18" s="910" t="s">
        <v>262</v>
      </c>
      <c r="C18" s="911"/>
      <c r="D18" s="911"/>
      <c r="E18" s="911"/>
      <c r="F18" s="911"/>
      <c r="G18" s="430">
        <v>0</v>
      </c>
      <c r="H18" s="419" t="s">
        <v>256</v>
      </c>
      <c r="I18" s="1013"/>
      <c r="J18" s="1013"/>
      <c r="K18" s="1014"/>
      <c r="L18" s="498"/>
      <c r="M18" s="1013"/>
      <c r="N18" s="1013"/>
      <c r="O18" s="931" t="s">
        <v>369</v>
      </c>
      <c r="P18" s="932"/>
    </row>
    <row r="19" spans="1:16" ht="21.75" customHeight="1">
      <c r="A19" s="414">
        <v>-20</v>
      </c>
      <c r="B19" s="910" t="s">
        <v>263</v>
      </c>
      <c r="C19" s="911"/>
      <c r="D19" s="911"/>
      <c r="E19" s="911"/>
      <c r="F19" s="911"/>
      <c r="G19" s="430">
        <v>0</v>
      </c>
      <c r="H19" s="419" t="s">
        <v>256</v>
      </c>
      <c r="I19" s="1013"/>
      <c r="J19" s="1013"/>
      <c r="K19" s="1014"/>
      <c r="L19" s="498"/>
      <c r="M19" s="1013"/>
      <c r="N19" s="1013"/>
      <c r="O19" s="931" t="s">
        <v>369</v>
      </c>
      <c r="P19" s="932"/>
    </row>
    <row r="20" spans="1:16" ht="21.75" customHeight="1">
      <c r="A20" s="414">
        <v>-20</v>
      </c>
      <c r="B20" s="910" t="s">
        <v>264</v>
      </c>
      <c r="C20" s="911"/>
      <c r="D20" s="911"/>
      <c r="E20" s="911"/>
      <c r="F20" s="911"/>
      <c r="G20" s="430">
        <v>0</v>
      </c>
      <c r="H20" s="419" t="s">
        <v>256</v>
      </c>
      <c r="I20" s="1013"/>
      <c r="J20" s="1013"/>
      <c r="K20" s="1014"/>
      <c r="L20" s="498"/>
      <c r="M20" s="1013"/>
      <c r="N20" s="1013"/>
      <c r="O20" s="931" t="s">
        <v>369</v>
      </c>
      <c r="P20" s="932"/>
    </row>
    <row r="21" spans="1:16" ht="21.75" customHeight="1">
      <c r="A21" s="414">
        <v>-50</v>
      </c>
      <c r="B21" s="910" t="s">
        <v>265</v>
      </c>
      <c r="C21" s="911"/>
      <c r="D21" s="911"/>
      <c r="E21" s="911"/>
      <c r="F21" s="911"/>
      <c r="G21" s="430">
        <v>0</v>
      </c>
      <c r="H21" s="419" t="s">
        <v>256</v>
      </c>
      <c r="I21" s="1013"/>
      <c r="J21" s="1013"/>
      <c r="K21" s="1014"/>
      <c r="L21" s="498"/>
      <c r="M21" s="1112"/>
      <c r="N21" s="1112"/>
      <c r="O21" s="1106" t="s">
        <v>369</v>
      </c>
      <c r="P21" s="1107"/>
    </row>
    <row r="22" spans="1:16" ht="31.5" customHeight="1">
      <c r="A22" s="1066"/>
      <c r="B22" s="1067"/>
      <c r="C22" s="1067"/>
      <c r="D22" s="1067"/>
      <c r="E22" s="1067"/>
      <c r="F22" s="1067"/>
      <c r="G22" s="1067"/>
      <c r="H22" s="1111"/>
      <c r="I22" s="957" t="s">
        <v>266</v>
      </c>
      <c r="J22" s="1023"/>
      <c r="K22" s="1031"/>
      <c r="L22" s="1032"/>
      <c r="M22" s="1113"/>
      <c r="N22" s="1104"/>
      <c r="O22" s="1104"/>
      <c r="P22" s="1105"/>
    </row>
    <row r="23" spans="1:16" ht="34.5" customHeight="1">
      <c r="A23" s="583" t="s">
        <v>345</v>
      </c>
      <c r="B23" s="1108"/>
      <c r="C23" s="1109"/>
      <c r="D23" s="1109"/>
      <c r="E23" s="1109"/>
      <c r="F23" s="1110"/>
      <c r="G23" s="1086" t="s">
        <v>267</v>
      </c>
      <c r="H23" s="1087"/>
      <c r="I23" s="1087"/>
      <c r="J23" s="1087"/>
      <c r="K23" s="1087"/>
      <c r="L23" s="1051"/>
      <c r="M23" s="1113"/>
      <c r="N23" s="1104"/>
      <c r="O23" s="1104"/>
      <c r="P23" s="1105"/>
    </row>
    <row r="24" spans="1:16" ht="15" customHeight="1">
      <c r="A24" s="440"/>
      <c r="B24" s="481"/>
      <c r="C24" s="482"/>
      <c r="D24" s="482"/>
      <c r="E24" s="482"/>
      <c r="F24" s="482"/>
      <c r="G24" s="483"/>
      <c r="H24" s="483"/>
      <c r="I24" s="484"/>
      <c r="J24" s="484"/>
      <c r="K24" s="484"/>
      <c r="L24" s="484"/>
      <c r="M24" s="484"/>
      <c r="N24" s="484"/>
      <c r="O24" s="484"/>
      <c r="P24" s="483"/>
    </row>
    <row r="25" spans="1:16" ht="15" customHeight="1">
      <c r="A25" s="939" t="s">
        <v>282</v>
      </c>
      <c r="B25" s="940"/>
      <c r="C25" s="940"/>
      <c r="D25" s="940"/>
      <c r="E25" s="940"/>
      <c r="F25" s="940"/>
      <c r="G25" s="940"/>
      <c r="H25" s="940"/>
      <c r="I25" s="940"/>
      <c r="J25" s="940"/>
      <c r="K25" s="940"/>
      <c r="L25" s="1056"/>
      <c r="M25" s="940"/>
      <c r="N25" s="940"/>
      <c r="O25" s="584"/>
      <c r="P25" s="584"/>
    </row>
    <row r="26" spans="1:16" ht="12.75" customHeight="1">
      <c r="A26" s="1102" t="s">
        <v>283</v>
      </c>
      <c r="B26" s="1103"/>
      <c r="C26" s="489" t="s">
        <v>224</v>
      </c>
      <c r="D26" s="1102" t="s">
        <v>283</v>
      </c>
      <c r="E26" s="1103"/>
      <c r="F26" s="489" t="s">
        <v>224</v>
      </c>
      <c r="G26" s="1102" t="s">
        <v>283</v>
      </c>
      <c r="H26" s="1103"/>
      <c r="I26" s="489" t="s">
        <v>224</v>
      </c>
      <c r="J26" s="1102" t="s">
        <v>283</v>
      </c>
      <c r="K26" s="1114"/>
      <c r="L26" s="490"/>
      <c r="M26" s="488" t="s">
        <v>224</v>
      </c>
      <c r="N26" s="1102" t="s">
        <v>283</v>
      </c>
      <c r="O26" s="1103"/>
      <c r="P26" s="489" t="s">
        <v>224</v>
      </c>
    </row>
    <row r="27" spans="1:16" ht="12.75" customHeight="1">
      <c r="A27" s="952" t="s">
        <v>533</v>
      </c>
      <c r="B27" s="1071"/>
      <c r="C27" s="491" t="s">
        <v>363</v>
      </c>
      <c r="D27" s="952" t="s">
        <v>534</v>
      </c>
      <c r="E27" s="1071"/>
      <c r="F27" s="493">
        <v>216</v>
      </c>
      <c r="G27" s="952" t="s">
        <v>535</v>
      </c>
      <c r="H27" s="1071"/>
      <c r="I27" s="493">
        <v>162</v>
      </c>
      <c r="J27" s="952" t="s">
        <v>536</v>
      </c>
      <c r="K27" s="1070"/>
      <c r="L27" s="477"/>
      <c r="M27" s="494">
        <v>108</v>
      </c>
      <c r="N27" s="952" t="s">
        <v>537</v>
      </c>
      <c r="O27" s="1071"/>
      <c r="P27" s="493">
        <v>54</v>
      </c>
    </row>
    <row r="28" spans="1:16" ht="12.75" customHeight="1">
      <c r="A28" s="952" t="s">
        <v>538</v>
      </c>
      <c r="B28" s="1071"/>
      <c r="C28" s="572">
        <v>268</v>
      </c>
      <c r="D28" s="952" t="s">
        <v>539</v>
      </c>
      <c r="E28" s="1071"/>
      <c r="F28" s="493">
        <v>214</v>
      </c>
      <c r="G28" s="952" t="s">
        <v>540</v>
      </c>
      <c r="H28" s="1071"/>
      <c r="I28" s="493">
        <v>160</v>
      </c>
      <c r="J28" s="952" t="s">
        <v>541</v>
      </c>
      <c r="K28" s="1070"/>
      <c r="L28" s="477"/>
      <c r="M28" s="494">
        <v>106</v>
      </c>
      <c r="N28" s="952" t="s">
        <v>542</v>
      </c>
      <c r="O28" s="1071"/>
      <c r="P28" s="493">
        <v>52</v>
      </c>
    </row>
    <row r="29" spans="1:16" ht="12.75" customHeight="1">
      <c r="A29" s="952" t="s">
        <v>543</v>
      </c>
      <c r="B29" s="1071"/>
      <c r="C29" s="572">
        <v>266</v>
      </c>
      <c r="D29" s="952" t="s">
        <v>544</v>
      </c>
      <c r="E29" s="1071"/>
      <c r="F29" s="493">
        <v>212</v>
      </c>
      <c r="G29" s="952" t="s">
        <v>545</v>
      </c>
      <c r="H29" s="1071"/>
      <c r="I29" s="493">
        <v>158</v>
      </c>
      <c r="J29" s="952" t="s">
        <v>546</v>
      </c>
      <c r="K29" s="1070"/>
      <c r="L29" s="477"/>
      <c r="M29" s="494">
        <v>104</v>
      </c>
      <c r="N29" s="952" t="s">
        <v>547</v>
      </c>
      <c r="O29" s="1071"/>
      <c r="P29" s="493">
        <v>50</v>
      </c>
    </row>
    <row r="30" spans="1:16" ht="12.75" customHeight="1">
      <c r="A30" s="952" t="s">
        <v>548</v>
      </c>
      <c r="B30" s="1071"/>
      <c r="C30" s="572">
        <v>264</v>
      </c>
      <c r="D30" s="952" t="s">
        <v>549</v>
      </c>
      <c r="E30" s="1071"/>
      <c r="F30" s="493">
        <v>210</v>
      </c>
      <c r="G30" s="952" t="s">
        <v>550</v>
      </c>
      <c r="H30" s="1071"/>
      <c r="I30" s="493">
        <v>156</v>
      </c>
      <c r="J30" s="952" t="s">
        <v>551</v>
      </c>
      <c r="K30" s="1070"/>
      <c r="L30" s="477"/>
      <c r="M30" s="494">
        <v>102</v>
      </c>
      <c r="N30" s="952" t="s">
        <v>552</v>
      </c>
      <c r="O30" s="1071"/>
      <c r="P30" s="493">
        <v>48</v>
      </c>
    </row>
    <row r="31" spans="1:16" ht="12.75" customHeight="1">
      <c r="A31" s="952" t="s">
        <v>553</v>
      </c>
      <c r="B31" s="1071"/>
      <c r="C31" s="572">
        <v>262</v>
      </c>
      <c r="D31" s="952" t="s">
        <v>554</v>
      </c>
      <c r="E31" s="1071"/>
      <c r="F31" s="493">
        <v>208</v>
      </c>
      <c r="G31" s="952" t="s">
        <v>555</v>
      </c>
      <c r="H31" s="1071"/>
      <c r="I31" s="493">
        <v>154</v>
      </c>
      <c r="J31" s="952" t="s">
        <v>556</v>
      </c>
      <c r="K31" s="1070"/>
      <c r="L31" s="477"/>
      <c r="M31" s="494">
        <v>100</v>
      </c>
      <c r="N31" s="952" t="s">
        <v>557</v>
      </c>
      <c r="O31" s="1071"/>
      <c r="P31" s="493">
        <v>46</v>
      </c>
    </row>
    <row r="32" spans="1:16" ht="12.75" customHeight="1">
      <c r="A32" s="952" t="s">
        <v>558</v>
      </c>
      <c r="B32" s="1071"/>
      <c r="C32" s="572">
        <v>260</v>
      </c>
      <c r="D32" s="952" t="s">
        <v>559</v>
      </c>
      <c r="E32" s="1071"/>
      <c r="F32" s="493">
        <v>206</v>
      </c>
      <c r="G32" s="952" t="s">
        <v>560</v>
      </c>
      <c r="H32" s="1071"/>
      <c r="I32" s="493">
        <v>152</v>
      </c>
      <c r="J32" s="952" t="s">
        <v>561</v>
      </c>
      <c r="K32" s="1070"/>
      <c r="L32" s="477"/>
      <c r="M32" s="494">
        <v>98</v>
      </c>
      <c r="N32" s="952" t="s">
        <v>562</v>
      </c>
      <c r="O32" s="1071"/>
      <c r="P32" s="493">
        <v>44</v>
      </c>
    </row>
    <row r="33" spans="1:16" ht="12.75" customHeight="1">
      <c r="A33" s="952" t="s">
        <v>563</v>
      </c>
      <c r="B33" s="1071"/>
      <c r="C33" s="572">
        <v>258</v>
      </c>
      <c r="D33" s="952" t="s">
        <v>564</v>
      </c>
      <c r="E33" s="1071"/>
      <c r="F33" s="493">
        <v>204</v>
      </c>
      <c r="G33" s="952" t="s">
        <v>565</v>
      </c>
      <c r="H33" s="1071"/>
      <c r="I33" s="493">
        <v>150</v>
      </c>
      <c r="J33" s="952" t="s">
        <v>566</v>
      </c>
      <c r="K33" s="1070"/>
      <c r="L33" s="477"/>
      <c r="M33" s="494">
        <v>96</v>
      </c>
      <c r="N33" s="952" t="s">
        <v>567</v>
      </c>
      <c r="O33" s="1071"/>
      <c r="P33" s="493">
        <v>42</v>
      </c>
    </row>
    <row r="34" spans="1:16" ht="12.75" customHeight="1">
      <c r="A34" s="952" t="s">
        <v>568</v>
      </c>
      <c r="B34" s="1071"/>
      <c r="C34" s="572">
        <v>256</v>
      </c>
      <c r="D34" s="952" t="s">
        <v>569</v>
      </c>
      <c r="E34" s="1071"/>
      <c r="F34" s="493">
        <v>202</v>
      </c>
      <c r="G34" s="952" t="s">
        <v>570</v>
      </c>
      <c r="H34" s="1071"/>
      <c r="I34" s="493">
        <v>148</v>
      </c>
      <c r="J34" s="952" t="s">
        <v>571</v>
      </c>
      <c r="K34" s="1070"/>
      <c r="L34" s="477"/>
      <c r="M34" s="494">
        <v>94</v>
      </c>
      <c r="N34" s="952" t="s">
        <v>572</v>
      </c>
      <c r="O34" s="1071"/>
      <c r="P34" s="493">
        <v>40</v>
      </c>
    </row>
    <row r="35" spans="1:16" ht="12.75" customHeight="1">
      <c r="A35" s="952" t="s">
        <v>573</v>
      </c>
      <c r="B35" s="1071"/>
      <c r="C35" s="572">
        <v>254</v>
      </c>
      <c r="D35" s="1102" t="s">
        <v>574</v>
      </c>
      <c r="E35" s="1103"/>
      <c r="F35" s="492">
        <v>200</v>
      </c>
      <c r="G35" s="952" t="s">
        <v>575</v>
      </c>
      <c r="H35" s="1071"/>
      <c r="I35" s="493">
        <v>146</v>
      </c>
      <c r="J35" s="952" t="s">
        <v>576</v>
      </c>
      <c r="K35" s="1070"/>
      <c r="L35" s="477"/>
      <c r="M35" s="494">
        <v>92</v>
      </c>
      <c r="N35" s="952" t="s">
        <v>577</v>
      </c>
      <c r="O35" s="1071"/>
      <c r="P35" s="493">
        <v>38</v>
      </c>
    </row>
    <row r="36" spans="1:16" ht="12.75" customHeight="1">
      <c r="A36" s="952" t="s">
        <v>578</v>
      </c>
      <c r="B36" s="1071"/>
      <c r="C36" s="572">
        <v>252</v>
      </c>
      <c r="D36" s="952" t="s">
        <v>579</v>
      </c>
      <c r="E36" s="1071"/>
      <c r="F36" s="493">
        <v>198</v>
      </c>
      <c r="G36" s="952" t="s">
        <v>580</v>
      </c>
      <c r="H36" s="1071"/>
      <c r="I36" s="493">
        <v>144</v>
      </c>
      <c r="J36" s="952" t="s">
        <v>581</v>
      </c>
      <c r="K36" s="1070"/>
      <c r="L36" s="477"/>
      <c r="M36" s="494">
        <v>90</v>
      </c>
      <c r="N36" s="952" t="s">
        <v>582</v>
      </c>
      <c r="O36" s="1071"/>
      <c r="P36" s="493">
        <v>36</v>
      </c>
    </row>
    <row r="37" spans="1:16" ht="12.75" customHeight="1">
      <c r="A37" s="952" t="s">
        <v>583</v>
      </c>
      <c r="B37" s="1071"/>
      <c r="C37" s="572">
        <v>250</v>
      </c>
      <c r="D37" s="952" t="s">
        <v>584</v>
      </c>
      <c r="E37" s="1071"/>
      <c r="F37" s="493">
        <v>196</v>
      </c>
      <c r="G37" s="952" t="s">
        <v>585</v>
      </c>
      <c r="H37" s="1071"/>
      <c r="I37" s="493">
        <v>142</v>
      </c>
      <c r="J37" s="952" t="s">
        <v>586</v>
      </c>
      <c r="K37" s="1070"/>
      <c r="L37" s="477"/>
      <c r="M37" s="494">
        <v>88</v>
      </c>
      <c r="N37" s="952" t="s">
        <v>587</v>
      </c>
      <c r="O37" s="1071"/>
      <c r="P37" s="493">
        <v>34</v>
      </c>
    </row>
    <row r="38" spans="1:16" ht="12.75" customHeight="1">
      <c r="A38" s="952" t="s">
        <v>588</v>
      </c>
      <c r="B38" s="1071"/>
      <c r="C38" s="572">
        <v>248</v>
      </c>
      <c r="D38" s="952" t="s">
        <v>589</v>
      </c>
      <c r="E38" s="1071"/>
      <c r="F38" s="493">
        <v>194</v>
      </c>
      <c r="G38" s="952" t="s">
        <v>590</v>
      </c>
      <c r="H38" s="1071"/>
      <c r="I38" s="493">
        <v>140</v>
      </c>
      <c r="J38" s="952" t="s">
        <v>591</v>
      </c>
      <c r="K38" s="1070"/>
      <c r="L38" s="477"/>
      <c r="M38" s="494">
        <v>86</v>
      </c>
      <c r="N38" s="952" t="s">
        <v>592</v>
      </c>
      <c r="O38" s="1071"/>
      <c r="P38" s="493">
        <v>32</v>
      </c>
    </row>
    <row r="39" spans="1:16" ht="12.75" customHeight="1">
      <c r="A39" s="952" t="s">
        <v>593</v>
      </c>
      <c r="B39" s="1071"/>
      <c r="C39" s="572">
        <v>246</v>
      </c>
      <c r="D39" s="952" t="s">
        <v>594</v>
      </c>
      <c r="E39" s="1071"/>
      <c r="F39" s="493">
        <v>192</v>
      </c>
      <c r="G39" s="952" t="s">
        <v>595</v>
      </c>
      <c r="H39" s="1071"/>
      <c r="I39" s="493">
        <v>138</v>
      </c>
      <c r="J39" s="952" t="s">
        <v>596</v>
      </c>
      <c r="K39" s="1070"/>
      <c r="L39" s="477"/>
      <c r="M39" s="494">
        <v>84</v>
      </c>
      <c r="N39" s="952" t="s">
        <v>597</v>
      </c>
      <c r="O39" s="1071"/>
      <c r="P39" s="493">
        <v>30</v>
      </c>
    </row>
    <row r="40" spans="1:16" ht="12.75" customHeight="1">
      <c r="A40" s="952" t="s">
        <v>598</v>
      </c>
      <c r="B40" s="1071"/>
      <c r="C40" s="572">
        <v>244</v>
      </c>
      <c r="D40" s="952" t="s">
        <v>599</v>
      </c>
      <c r="E40" s="1071"/>
      <c r="F40" s="493">
        <v>190</v>
      </c>
      <c r="G40" s="952" t="s">
        <v>600</v>
      </c>
      <c r="H40" s="1071"/>
      <c r="I40" s="493">
        <v>136</v>
      </c>
      <c r="J40" s="952" t="s">
        <v>601</v>
      </c>
      <c r="K40" s="1070"/>
      <c r="L40" s="477"/>
      <c r="M40" s="494">
        <v>82</v>
      </c>
      <c r="N40" s="952" t="s">
        <v>602</v>
      </c>
      <c r="O40" s="1071"/>
      <c r="P40" s="493">
        <v>28</v>
      </c>
    </row>
    <row r="41" spans="1:16" ht="12.75" customHeight="1">
      <c r="A41" s="952" t="s">
        <v>603</v>
      </c>
      <c r="B41" s="1071"/>
      <c r="C41" s="572">
        <v>242</v>
      </c>
      <c r="D41" s="952" t="s">
        <v>604</v>
      </c>
      <c r="E41" s="1071"/>
      <c r="F41" s="493">
        <v>188</v>
      </c>
      <c r="G41" s="952" t="s">
        <v>605</v>
      </c>
      <c r="H41" s="1071"/>
      <c r="I41" s="493">
        <v>134</v>
      </c>
      <c r="J41" s="952" t="s">
        <v>606</v>
      </c>
      <c r="K41" s="1070"/>
      <c r="L41" s="477"/>
      <c r="M41" s="494">
        <v>80</v>
      </c>
      <c r="N41" s="952" t="s">
        <v>607</v>
      </c>
      <c r="O41" s="1071"/>
      <c r="P41" s="493">
        <v>26</v>
      </c>
    </row>
    <row r="42" spans="1:16" ht="12.75" customHeight="1">
      <c r="A42" s="952" t="s">
        <v>608</v>
      </c>
      <c r="B42" s="1071"/>
      <c r="C42" s="572">
        <v>240</v>
      </c>
      <c r="D42" s="952" t="s">
        <v>609</v>
      </c>
      <c r="E42" s="1071"/>
      <c r="F42" s="493">
        <v>186</v>
      </c>
      <c r="G42" s="952" t="s">
        <v>610</v>
      </c>
      <c r="H42" s="1071"/>
      <c r="I42" s="493">
        <v>132</v>
      </c>
      <c r="J42" s="952" t="s">
        <v>611</v>
      </c>
      <c r="K42" s="1070"/>
      <c r="L42" s="477"/>
      <c r="M42" s="494">
        <v>78</v>
      </c>
      <c r="N42" s="952" t="s">
        <v>612</v>
      </c>
      <c r="O42" s="1071"/>
      <c r="P42" s="493">
        <v>24</v>
      </c>
    </row>
    <row r="43" spans="1:16" ht="12.75" customHeight="1">
      <c r="A43" s="952" t="s">
        <v>613</v>
      </c>
      <c r="B43" s="1071"/>
      <c r="C43" s="572">
        <v>238</v>
      </c>
      <c r="D43" s="952" t="s">
        <v>614</v>
      </c>
      <c r="E43" s="1071"/>
      <c r="F43" s="493">
        <v>184</v>
      </c>
      <c r="G43" s="952" t="s">
        <v>615</v>
      </c>
      <c r="H43" s="1071"/>
      <c r="I43" s="493">
        <v>130</v>
      </c>
      <c r="J43" s="952" t="s">
        <v>616</v>
      </c>
      <c r="K43" s="1070"/>
      <c r="L43" s="477"/>
      <c r="M43" s="494">
        <v>76</v>
      </c>
      <c r="N43" s="952" t="s">
        <v>617</v>
      </c>
      <c r="O43" s="1071"/>
      <c r="P43" s="493">
        <f aca="true" t="shared" si="0" ref="P43:P54">P42-2</f>
        <v>22</v>
      </c>
    </row>
    <row r="44" spans="1:16" ht="12.75" customHeight="1">
      <c r="A44" s="952" t="s">
        <v>618</v>
      </c>
      <c r="B44" s="1071"/>
      <c r="C44" s="572">
        <v>236</v>
      </c>
      <c r="D44" s="952" t="s">
        <v>619</v>
      </c>
      <c r="E44" s="1071"/>
      <c r="F44" s="493">
        <v>182</v>
      </c>
      <c r="G44" s="952" t="s">
        <v>620</v>
      </c>
      <c r="H44" s="1071"/>
      <c r="I44" s="493">
        <v>128</v>
      </c>
      <c r="J44" s="952" t="s">
        <v>621</v>
      </c>
      <c r="K44" s="1070"/>
      <c r="L44" s="477"/>
      <c r="M44" s="494">
        <v>74</v>
      </c>
      <c r="N44" s="952" t="s">
        <v>622</v>
      </c>
      <c r="O44" s="1071"/>
      <c r="P44" s="493">
        <f t="shared" si="0"/>
        <v>20</v>
      </c>
    </row>
    <row r="45" spans="1:16" ht="12.75" customHeight="1">
      <c r="A45" s="952" t="s">
        <v>623</v>
      </c>
      <c r="B45" s="1071"/>
      <c r="C45" s="572">
        <v>234</v>
      </c>
      <c r="D45" s="952" t="s">
        <v>624</v>
      </c>
      <c r="E45" s="1071"/>
      <c r="F45" s="493">
        <v>180</v>
      </c>
      <c r="G45" s="952" t="s">
        <v>625</v>
      </c>
      <c r="H45" s="1071"/>
      <c r="I45" s="493">
        <v>126</v>
      </c>
      <c r="J45" s="952" t="s">
        <v>626</v>
      </c>
      <c r="K45" s="1070"/>
      <c r="L45" s="477"/>
      <c r="M45" s="494">
        <v>72</v>
      </c>
      <c r="N45" s="952" t="s">
        <v>627</v>
      </c>
      <c r="O45" s="1071"/>
      <c r="P45" s="493">
        <f t="shared" si="0"/>
        <v>18</v>
      </c>
    </row>
    <row r="46" spans="1:16" ht="12.75" customHeight="1">
      <c r="A46" s="952" t="s">
        <v>628</v>
      </c>
      <c r="B46" s="1071"/>
      <c r="C46" s="572">
        <v>232</v>
      </c>
      <c r="D46" s="952" t="s">
        <v>629</v>
      </c>
      <c r="E46" s="1071"/>
      <c r="F46" s="493">
        <v>178</v>
      </c>
      <c r="G46" s="952" t="s">
        <v>630</v>
      </c>
      <c r="H46" s="1071"/>
      <c r="I46" s="493">
        <v>124</v>
      </c>
      <c r="J46" s="952" t="s">
        <v>631</v>
      </c>
      <c r="K46" s="1070"/>
      <c r="L46" s="477"/>
      <c r="M46" s="494">
        <v>70</v>
      </c>
      <c r="N46" s="952" t="s">
        <v>632</v>
      </c>
      <c r="O46" s="1071"/>
      <c r="P46" s="493">
        <f t="shared" si="0"/>
        <v>16</v>
      </c>
    </row>
    <row r="47" spans="1:16" ht="12.75" customHeight="1">
      <c r="A47" s="952" t="s">
        <v>633</v>
      </c>
      <c r="B47" s="1071"/>
      <c r="C47" s="572">
        <v>230</v>
      </c>
      <c r="D47" s="952" t="s">
        <v>634</v>
      </c>
      <c r="E47" s="1071"/>
      <c r="F47" s="493">
        <v>176</v>
      </c>
      <c r="G47" s="952" t="s">
        <v>635</v>
      </c>
      <c r="H47" s="1071"/>
      <c r="I47" s="493">
        <v>122</v>
      </c>
      <c r="J47" s="952" t="s">
        <v>636</v>
      </c>
      <c r="K47" s="1070"/>
      <c r="L47" s="477"/>
      <c r="M47" s="494">
        <v>68</v>
      </c>
      <c r="N47" s="952" t="s">
        <v>637</v>
      </c>
      <c r="O47" s="1071"/>
      <c r="P47" s="493">
        <f t="shared" si="0"/>
        <v>14</v>
      </c>
    </row>
    <row r="48" spans="1:16" ht="12.75" customHeight="1">
      <c r="A48" s="952" t="s">
        <v>638</v>
      </c>
      <c r="B48" s="1071"/>
      <c r="C48" s="572">
        <v>228</v>
      </c>
      <c r="D48" s="952" t="s">
        <v>639</v>
      </c>
      <c r="E48" s="1071"/>
      <c r="F48" s="493">
        <v>174</v>
      </c>
      <c r="G48" s="952" t="s">
        <v>640</v>
      </c>
      <c r="H48" s="1071"/>
      <c r="I48" s="493">
        <v>120</v>
      </c>
      <c r="J48" s="952" t="s">
        <v>641</v>
      </c>
      <c r="K48" s="1070"/>
      <c r="L48" s="477"/>
      <c r="M48" s="494">
        <v>66</v>
      </c>
      <c r="N48" s="952" t="s">
        <v>642</v>
      </c>
      <c r="O48" s="1071"/>
      <c r="P48" s="493">
        <f t="shared" si="0"/>
        <v>12</v>
      </c>
    </row>
    <row r="49" spans="1:16" ht="12.75" customHeight="1">
      <c r="A49" s="952" t="s">
        <v>643</v>
      </c>
      <c r="B49" s="1071"/>
      <c r="C49" s="572">
        <v>226</v>
      </c>
      <c r="D49" s="952" t="s">
        <v>644</v>
      </c>
      <c r="E49" s="1071"/>
      <c r="F49" s="493">
        <v>172</v>
      </c>
      <c r="G49" s="952" t="s">
        <v>645</v>
      </c>
      <c r="H49" s="1071"/>
      <c r="I49" s="493">
        <v>118</v>
      </c>
      <c r="J49" s="952" t="s">
        <v>646</v>
      </c>
      <c r="K49" s="1070"/>
      <c r="L49" s="477"/>
      <c r="M49" s="494">
        <v>64</v>
      </c>
      <c r="N49" s="952" t="s">
        <v>647</v>
      </c>
      <c r="O49" s="1071"/>
      <c r="P49" s="493">
        <f t="shared" si="0"/>
        <v>10</v>
      </c>
    </row>
    <row r="50" spans="1:16" ht="12.75" customHeight="1">
      <c r="A50" s="952" t="s">
        <v>648</v>
      </c>
      <c r="B50" s="1071"/>
      <c r="C50" s="572">
        <v>224</v>
      </c>
      <c r="D50" s="952" t="s">
        <v>649</v>
      </c>
      <c r="E50" s="1071"/>
      <c r="F50" s="493">
        <v>170</v>
      </c>
      <c r="G50" s="952" t="s">
        <v>650</v>
      </c>
      <c r="H50" s="1071"/>
      <c r="I50" s="493">
        <v>116</v>
      </c>
      <c r="J50" s="952" t="s">
        <v>651</v>
      </c>
      <c r="K50" s="1070"/>
      <c r="L50" s="477"/>
      <c r="M50" s="494">
        <v>62</v>
      </c>
      <c r="N50" s="952" t="s">
        <v>652</v>
      </c>
      <c r="O50" s="1071"/>
      <c r="P50" s="493">
        <f t="shared" si="0"/>
        <v>8</v>
      </c>
    </row>
    <row r="51" spans="1:16" ht="12.75" customHeight="1">
      <c r="A51" s="952" t="s">
        <v>653</v>
      </c>
      <c r="B51" s="1071"/>
      <c r="C51" s="572">
        <v>222</v>
      </c>
      <c r="D51" s="952" t="s">
        <v>654</v>
      </c>
      <c r="E51" s="1071"/>
      <c r="F51" s="493">
        <v>168</v>
      </c>
      <c r="G51" s="952" t="s">
        <v>655</v>
      </c>
      <c r="H51" s="1071"/>
      <c r="I51" s="493">
        <v>114</v>
      </c>
      <c r="J51" s="952" t="s">
        <v>656</v>
      </c>
      <c r="K51" s="1070"/>
      <c r="L51" s="477"/>
      <c r="M51" s="494">
        <v>60</v>
      </c>
      <c r="N51" s="952" t="s">
        <v>657</v>
      </c>
      <c r="O51" s="1071"/>
      <c r="P51" s="493">
        <f t="shared" si="0"/>
        <v>6</v>
      </c>
    </row>
    <row r="52" spans="1:16" ht="12.75" customHeight="1">
      <c r="A52" s="952" t="s">
        <v>658</v>
      </c>
      <c r="B52" s="1071"/>
      <c r="C52" s="493">
        <v>220</v>
      </c>
      <c r="D52" s="952" t="s">
        <v>659</v>
      </c>
      <c r="E52" s="1071"/>
      <c r="F52" s="493">
        <v>166</v>
      </c>
      <c r="G52" s="952" t="s">
        <v>660</v>
      </c>
      <c r="H52" s="1071"/>
      <c r="I52" s="493">
        <v>112</v>
      </c>
      <c r="J52" s="952" t="s">
        <v>661</v>
      </c>
      <c r="K52" s="1070"/>
      <c r="L52" s="477"/>
      <c r="M52" s="494">
        <v>58</v>
      </c>
      <c r="N52" s="952" t="s">
        <v>662</v>
      </c>
      <c r="O52" s="1071"/>
      <c r="P52" s="493">
        <f t="shared" si="0"/>
        <v>4</v>
      </c>
    </row>
    <row r="53" spans="1:16" ht="12.75" customHeight="1">
      <c r="A53" s="952" t="s">
        <v>663</v>
      </c>
      <c r="B53" s="1071"/>
      <c r="C53" s="493">
        <v>218</v>
      </c>
      <c r="D53" s="952" t="s">
        <v>664</v>
      </c>
      <c r="E53" s="1071"/>
      <c r="F53" s="493">
        <v>164</v>
      </c>
      <c r="G53" s="952" t="s">
        <v>665</v>
      </c>
      <c r="H53" s="1071"/>
      <c r="I53" s="493">
        <v>110</v>
      </c>
      <c r="J53" s="952" t="s">
        <v>666</v>
      </c>
      <c r="K53" s="1070"/>
      <c r="L53" s="477"/>
      <c r="M53" s="494">
        <v>56</v>
      </c>
      <c r="N53" s="952" t="s">
        <v>667</v>
      </c>
      <c r="O53" s="1071"/>
      <c r="P53" s="493">
        <f t="shared" si="0"/>
        <v>2</v>
      </c>
    </row>
    <row r="54" spans="1:16" ht="15" customHeight="1">
      <c r="A54" s="567"/>
      <c r="B54" s="567"/>
      <c r="C54" s="585"/>
      <c r="D54" s="530"/>
      <c r="E54" s="530"/>
      <c r="F54" s="530"/>
      <c r="G54" s="567"/>
      <c r="H54" s="567"/>
      <c r="I54" s="567"/>
      <c r="J54" s="530"/>
      <c r="K54" s="530"/>
      <c r="L54" s="530"/>
      <c r="M54" s="586"/>
      <c r="N54" s="952" t="s">
        <v>668</v>
      </c>
      <c r="O54" s="1071"/>
      <c r="P54" s="493">
        <f t="shared" si="0"/>
        <v>0</v>
      </c>
    </row>
  </sheetData>
  <sheetProtection password="E074" sheet="1" objects="1" scenarios="1"/>
  <mergeCells count="226">
    <mergeCell ref="I22:L22"/>
    <mergeCell ref="N2:O2"/>
    <mergeCell ref="M6:N6"/>
    <mergeCell ref="I1:P1"/>
    <mergeCell ref="A1:H1"/>
    <mergeCell ref="O4:P4"/>
    <mergeCell ref="B9:F9"/>
    <mergeCell ref="I4:K4"/>
    <mergeCell ref="M7:N7"/>
    <mergeCell ref="B4:F4"/>
    <mergeCell ref="A2:B2"/>
    <mergeCell ref="G4:H4"/>
    <mergeCell ref="M4:N4"/>
    <mergeCell ref="G5:H5"/>
    <mergeCell ref="M8:N8"/>
    <mergeCell ref="B5:F5"/>
    <mergeCell ref="I5:K5"/>
    <mergeCell ref="I6:K6"/>
    <mergeCell ref="M18:N18"/>
    <mergeCell ref="G13:H13"/>
    <mergeCell ref="O10:P10"/>
    <mergeCell ref="B6:F6"/>
    <mergeCell ref="B7:F7"/>
    <mergeCell ref="O5:P5"/>
    <mergeCell ref="M13:N13"/>
    <mergeCell ref="B10:F10"/>
    <mergeCell ref="O6:P6"/>
    <mergeCell ref="O9:P9"/>
    <mergeCell ref="O8:P8"/>
    <mergeCell ref="I8:K8"/>
    <mergeCell ref="O13:P13"/>
    <mergeCell ref="O11:P11"/>
    <mergeCell ref="M5:N5"/>
    <mergeCell ref="D40:E40"/>
    <mergeCell ref="B11:F11"/>
    <mergeCell ref="B12:F12"/>
    <mergeCell ref="M10:N10"/>
    <mergeCell ref="M17:N17"/>
    <mergeCell ref="D28:E28"/>
    <mergeCell ref="G12:H12"/>
    <mergeCell ref="G28:H28"/>
    <mergeCell ref="I20:K20"/>
    <mergeCell ref="O7:P7"/>
    <mergeCell ref="A39:B39"/>
    <mergeCell ref="D27:E27"/>
    <mergeCell ref="G15:H15"/>
    <mergeCell ref="I7:K7"/>
    <mergeCell ref="G33:H33"/>
    <mergeCell ref="M9:N9"/>
    <mergeCell ref="D29:E29"/>
    <mergeCell ref="I9:K9"/>
    <mergeCell ref="G29:H29"/>
    <mergeCell ref="D50:E50"/>
    <mergeCell ref="G38:H38"/>
    <mergeCell ref="J26:K26"/>
    <mergeCell ref="M14:N14"/>
    <mergeCell ref="G42:H42"/>
    <mergeCell ref="D45:E45"/>
    <mergeCell ref="J30:K30"/>
    <mergeCell ref="G36:H36"/>
    <mergeCell ref="G34:H34"/>
    <mergeCell ref="D49:E49"/>
    <mergeCell ref="M22:N22"/>
    <mergeCell ref="M23:P23"/>
    <mergeCell ref="O20:P20"/>
    <mergeCell ref="A42:B42"/>
    <mergeCell ref="D30:E30"/>
    <mergeCell ref="G41:H41"/>
    <mergeCell ref="J29:K29"/>
    <mergeCell ref="J27:K27"/>
    <mergeCell ref="G40:H40"/>
    <mergeCell ref="A40:B40"/>
    <mergeCell ref="M11:N11"/>
    <mergeCell ref="B8:F8"/>
    <mergeCell ref="M19:N19"/>
    <mergeCell ref="M21:N21"/>
    <mergeCell ref="M12:N12"/>
    <mergeCell ref="M15:N15"/>
    <mergeCell ref="I10:K10"/>
    <mergeCell ref="B14:F14"/>
    <mergeCell ref="B13:F13"/>
    <mergeCell ref="I21:K21"/>
    <mergeCell ref="I11:K11"/>
    <mergeCell ref="J34:K34"/>
    <mergeCell ref="B15:F15"/>
    <mergeCell ref="I16:K16"/>
    <mergeCell ref="B16:F16"/>
    <mergeCell ref="J31:K31"/>
    <mergeCell ref="B20:F20"/>
    <mergeCell ref="G31:H31"/>
    <mergeCell ref="G30:H30"/>
    <mergeCell ref="A28:B28"/>
    <mergeCell ref="O14:P14"/>
    <mergeCell ref="J33:K33"/>
    <mergeCell ref="O12:P12"/>
    <mergeCell ref="G43:H43"/>
    <mergeCell ref="M16:N16"/>
    <mergeCell ref="O15:P15"/>
    <mergeCell ref="J37:K37"/>
    <mergeCell ref="O17:P17"/>
    <mergeCell ref="M20:N20"/>
    <mergeCell ref="O16:P16"/>
    <mergeCell ref="O18:P18"/>
    <mergeCell ref="A50:B50"/>
    <mergeCell ref="D38:E38"/>
    <mergeCell ref="G26:H26"/>
    <mergeCell ref="I18:K18"/>
    <mergeCell ref="A22:H22"/>
    <mergeCell ref="B18:F18"/>
    <mergeCell ref="G49:H49"/>
    <mergeCell ref="J28:K28"/>
    <mergeCell ref="G46:H46"/>
    <mergeCell ref="A49:B49"/>
    <mergeCell ref="D37:E37"/>
    <mergeCell ref="I17:K17"/>
    <mergeCell ref="B17:F17"/>
    <mergeCell ref="G44:H44"/>
    <mergeCell ref="J32:K32"/>
    <mergeCell ref="A27:B27"/>
    <mergeCell ref="B23:F23"/>
    <mergeCell ref="A30:B30"/>
    <mergeCell ref="J45:K45"/>
    <mergeCell ref="G53:H53"/>
    <mergeCell ref="J41:K41"/>
    <mergeCell ref="O21:P21"/>
    <mergeCell ref="A25:N25"/>
    <mergeCell ref="B21:F21"/>
    <mergeCell ref="G48:H48"/>
    <mergeCell ref="J36:K36"/>
    <mergeCell ref="A48:B48"/>
    <mergeCell ref="D36:E36"/>
    <mergeCell ref="D53:E53"/>
    <mergeCell ref="D52:E52"/>
    <mergeCell ref="D51:E51"/>
    <mergeCell ref="O22:P22"/>
    <mergeCell ref="N27:O27"/>
    <mergeCell ref="N26:O26"/>
    <mergeCell ref="G52:H52"/>
    <mergeCell ref="J40:K40"/>
    <mergeCell ref="G50:H50"/>
    <mergeCell ref="J38:K38"/>
    <mergeCell ref="G51:H51"/>
    <mergeCell ref="A53:B53"/>
    <mergeCell ref="A52:B52"/>
    <mergeCell ref="O19:P19"/>
    <mergeCell ref="A51:B51"/>
    <mergeCell ref="D39:E39"/>
    <mergeCell ref="G27:H27"/>
    <mergeCell ref="I19:K19"/>
    <mergeCell ref="B19:F19"/>
    <mergeCell ref="J42:K42"/>
    <mergeCell ref="G47:H47"/>
    <mergeCell ref="J46:K46"/>
    <mergeCell ref="N30:O30"/>
    <mergeCell ref="A46:B46"/>
    <mergeCell ref="D34:E34"/>
    <mergeCell ref="A34:B34"/>
    <mergeCell ref="G45:H45"/>
    <mergeCell ref="D46:E46"/>
    <mergeCell ref="A41:B41"/>
    <mergeCell ref="A43:B43"/>
    <mergeCell ref="D31:E31"/>
    <mergeCell ref="J49:K49"/>
    <mergeCell ref="N29:O29"/>
    <mergeCell ref="J44:K44"/>
    <mergeCell ref="N28:O28"/>
    <mergeCell ref="J43:K43"/>
    <mergeCell ref="N37:O37"/>
    <mergeCell ref="N33:O33"/>
    <mergeCell ref="N32:O32"/>
    <mergeCell ref="N34:O34"/>
    <mergeCell ref="N31:O31"/>
    <mergeCell ref="A47:B47"/>
    <mergeCell ref="D35:E35"/>
    <mergeCell ref="A35:B35"/>
    <mergeCell ref="A26:B26"/>
    <mergeCell ref="D47:E47"/>
    <mergeCell ref="D26:E26"/>
    <mergeCell ref="A29:B29"/>
    <mergeCell ref="A31:B31"/>
    <mergeCell ref="A38:B38"/>
    <mergeCell ref="D41:E41"/>
    <mergeCell ref="N41:O41"/>
    <mergeCell ref="G37:H37"/>
    <mergeCell ref="D44:E44"/>
    <mergeCell ref="G23:L23"/>
    <mergeCell ref="N36:O36"/>
    <mergeCell ref="N35:O35"/>
    <mergeCell ref="J35:K35"/>
    <mergeCell ref="J39:K39"/>
    <mergeCell ref="G35:H35"/>
    <mergeCell ref="D32:E32"/>
    <mergeCell ref="A32:B32"/>
    <mergeCell ref="N44:O44"/>
    <mergeCell ref="G39:H39"/>
    <mergeCell ref="N40:O40"/>
    <mergeCell ref="N39:O39"/>
    <mergeCell ref="N38:O38"/>
    <mergeCell ref="G32:H32"/>
    <mergeCell ref="A37:B37"/>
    <mergeCell ref="N42:O42"/>
    <mergeCell ref="N54:O54"/>
    <mergeCell ref="N53:O53"/>
    <mergeCell ref="N50:O50"/>
    <mergeCell ref="N43:O43"/>
    <mergeCell ref="N45:O45"/>
    <mergeCell ref="N48:O48"/>
    <mergeCell ref="N47:O47"/>
    <mergeCell ref="N46:O46"/>
    <mergeCell ref="N49:O49"/>
    <mergeCell ref="A45:B45"/>
    <mergeCell ref="D33:E33"/>
    <mergeCell ref="J48:K48"/>
    <mergeCell ref="D48:E48"/>
    <mergeCell ref="J47:K47"/>
    <mergeCell ref="A36:B36"/>
    <mergeCell ref="D43:E43"/>
    <mergeCell ref="A33:B33"/>
    <mergeCell ref="D42:E42"/>
    <mergeCell ref="A44:B44"/>
    <mergeCell ref="J53:K53"/>
    <mergeCell ref="N52:O52"/>
    <mergeCell ref="N51:O51"/>
    <mergeCell ref="J50:K50"/>
    <mergeCell ref="J52:K52"/>
    <mergeCell ref="J51:K51"/>
  </mergeCells>
  <printOptions/>
  <pageMargins left="0.7" right="0.7" top="0.75" bottom="0.75" header="0.3" footer="0.3"/>
  <pageSetup horizontalDpi="600" verticalDpi="600" orientation="portrait" scale="71"/>
  <headerFooter alignWithMargins="0">
    <oddHeader>&amp;C000000V. ORSZÁGOS TŰZOLTÓ FAVÁGÓ VERSENY</oddHeader>
    <oddFooter>&amp;L&amp;"Helvetica,Regular"&amp;11&amp;C000000........................................................................................&amp;R&amp;"Arial,Regular"&amp;10</oddFooter>
  </headerFooter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P43"/>
  <sheetViews>
    <sheetView showGridLines="0" workbookViewId="0" topLeftCell="A17">
      <selection activeCell="H43" sqref="H43"/>
    </sheetView>
  </sheetViews>
  <sheetFormatPr defaultColWidth="8.8515625" defaultRowHeight="14.25" customHeight="1"/>
  <cols>
    <col min="1" max="1" width="9.140625" style="5" customWidth="1"/>
    <col min="2" max="2" width="13.28125" style="5" customWidth="1"/>
    <col min="3" max="7" width="9.140625" style="5" customWidth="1"/>
    <col min="8" max="8" width="7.00390625" style="5" customWidth="1"/>
    <col min="9" max="9" width="11.140625" style="5" customWidth="1"/>
    <col min="10" max="10" width="13.421875" style="5" customWidth="1"/>
    <col min="11" max="11" width="15.7109375" style="5" customWidth="1"/>
    <col min="12" max="12" width="9.140625" style="5" customWidth="1"/>
    <col min="13" max="13" width="3.140625" style="5" customWidth="1"/>
    <col min="14" max="14" width="7.7109375" style="5" customWidth="1"/>
    <col min="15" max="15" width="10.140625" style="5" customWidth="1"/>
    <col min="16" max="16" width="11.8515625" style="5" customWidth="1"/>
    <col min="17" max="16384" width="8.8515625" style="5" customWidth="1"/>
  </cols>
  <sheetData>
    <row r="1" spans="1:16" ht="17.25" customHeight="1">
      <c r="A1" s="6" t="s">
        <v>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</row>
    <row r="2" spans="1:16" ht="17.2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</row>
    <row r="3" spans="1:16" ht="17.25" customHeight="1">
      <c r="A3" s="12" t="s">
        <v>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7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1:16" ht="17.25" customHeight="1">
      <c r="A5" s="12" t="s">
        <v>8</v>
      </c>
      <c r="B5" s="10"/>
      <c r="C5" s="10"/>
      <c r="D5" s="10"/>
      <c r="E5" s="10"/>
      <c r="F5" s="10"/>
      <c r="G5" s="10"/>
      <c r="H5" s="10"/>
      <c r="I5" s="10"/>
      <c r="J5" s="10"/>
      <c r="K5" s="13"/>
      <c r="L5" s="10"/>
      <c r="M5" s="10"/>
      <c r="N5" s="10"/>
      <c r="O5" s="14"/>
      <c r="P5" s="15"/>
    </row>
    <row r="6" spans="1:16" ht="17.25" customHeight="1">
      <c r="A6" s="12" t="s">
        <v>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</row>
    <row r="7" spans="1:16" ht="17.25" customHeight="1">
      <c r="A7" s="16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1:16" ht="17.25" customHeight="1">
      <c r="A8" s="17" t="s">
        <v>10</v>
      </c>
      <c r="B8" s="18"/>
      <c r="C8" s="18"/>
      <c r="D8" s="18"/>
      <c r="E8" s="18"/>
      <c r="F8" s="18"/>
      <c r="G8" s="18"/>
      <c r="H8" s="18"/>
      <c r="I8" s="18"/>
      <c r="J8" s="14"/>
      <c r="K8" s="10"/>
      <c r="L8" s="10"/>
      <c r="M8" s="10"/>
      <c r="N8" s="10"/>
      <c r="O8" s="10"/>
      <c r="P8" s="11"/>
    </row>
    <row r="9" spans="1:16" ht="17.2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1:16" ht="17.25" customHeight="1">
      <c r="A10" s="19" t="s">
        <v>11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</row>
    <row r="11" spans="1:16" ht="17.25" customHeight="1">
      <c r="A11" s="22"/>
      <c r="B11" s="23" t="s">
        <v>12</v>
      </c>
      <c r="C11" s="24"/>
      <c r="D11" s="24"/>
      <c r="E11" s="25"/>
      <c r="F11" s="25"/>
      <c r="G11" s="20"/>
      <c r="H11" s="20"/>
      <c r="I11" s="20"/>
      <c r="J11" s="20"/>
      <c r="K11" s="20"/>
      <c r="L11" s="20"/>
      <c r="M11" s="20"/>
      <c r="N11" s="20"/>
      <c r="O11" s="20"/>
      <c r="P11" s="21"/>
    </row>
    <row r="12" spans="1:16" ht="17.25" customHeight="1">
      <c r="A12" s="22"/>
      <c r="B12" s="26" t="s">
        <v>13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5"/>
      <c r="P12" s="21"/>
    </row>
    <row r="13" spans="1:16" ht="17.25" customHeight="1">
      <c r="A13" s="22"/>
      <c r="B13" s="26" t="s">
        <v>14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/>
    </row>
    <row r="14" spans="1:16" ht="17.25" customHeight="1">
      <c r="A14" s="22"/>
      <c r="B14" s="26" t="s">
        <v>15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</row>
    <row r="15" spans="1:16" ht="17.25" customHeight="1">
      <c r="A15" s="22"/>
      <c r="B15" s="26" t="s">
        <v>16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</row>
    <row r="16" spans="1:16" ht="17.25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</row>
    <row r="17" spans="1:16" ht="17.25" customHeight="1">
      <c r="A17" s="12" t="s">
        <v>17</v>
      </c>
      <c r="B17" s="10"/>
      <c r="C17" s="10"/>
      <c r="D17" s="10"/>
      <c r="E17" s="10"/>
      <c r="F17" s="10"/>
      <c r="G17" s="10"/>
      <c r="H17" s="10"/>
      <c r="I17" s="27"/>
      <c r="J17" s="14"/>
      <c r="K17" s="10"/>
      <c r="L17" s="10"/>
      <c r="M17" s="10"/>
      <c r="N17" s="10"/>
      <c r="O17" s="10"/>
      <c r="P17" s="11"/>
    </row>
    <row r="18" spans="1:16" ht="17.25" customHeight="1">
      <c r="A18" s="9"/>
      <c r="B18" s="28" t="s">
        <v>18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</row>
    <row r="19" spans="1:16" ht="17.25" customHeight="1">
      <c r="A19" s="9"/>
      <c r="B19" s="28" t="s">
        <v>19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/>
    </row>
    <row r="20" spans="1:16" ht="17.25" customHeight="1">
      <c r="A20" s="9"/>
      <c r="B20" s="28" t="s">
        <v>20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</row>
    <row r="21" spans="1:16" ht="17.25" customHeight="1" hidden="1">
      <c r="A21" s="9"/>
      <c r="B21" s="28" t="s">
        <v>21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</row>
    <row r="22" spans="1:16" ht="17.25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/>
    </row>
    <row r="23" spans="1:16" ht="17.25" customHeight="1">
      <c r="A23" s="29" t="s">
        <v>22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</row>
    <row r="24" spans="1:16" ht="17.25" customHeight="1">
      <c r="A24" s="22"/>
      <c r="B24" s="30" t="s">
        <v>23</v>
      </c>
      <c r="C24" s="26" t="s">
        <v>24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</row>
    <row r="25" spans="1:16" ht="17.25" customHeight="1" hidden="1">
      <c r="A25" s="9"/>
      <c r="B25" s="31" t="s">
        <v>25</v>
      </c>
      <c r="C25" s="28" t="s">
        <v>26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</row>
    <row r="26" spans="1:16" ht="17.25" customHeight="1" hidden="1">
      <c r="A26" s="9"/>
      <c r="B26" s="31" t="s">
        <v>27</v>
      </c>
      <c r="C26" s="28" t="s">
        <v>28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</row>
    <row r="27" spans="1:16" ht="17.25" customHeight="1" hidden="1">
      <c r="A27" s="9"/>
      <c r="B27" s="31" t="s">
        <v>29</v>
      </c>
      <c r="C27" s="28" t="s">
        <v>30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</row>
    <row r="28" spans="1:16" ht="17.2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</row>
    <row r="29" spans="1:16" ht="17.25" customHeight="1">
      <c r="A29" s="12" t="s">
        <v>31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/>
    </row>
    <row r="30" spans="1:16" ht="17.2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</row>
    <row r="31" spans="1:16" ht="17.25" customHeight="1">
      <c r="A31" s="9"/>
      <c r="B31" s="31" t="s">
        <v>32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</row>
    <row r="32" spans="1:16" ht="17.25" customHeight="1">
      <c r="A32" s="9"/>
      <c r="B32" s="31" t="s">
        <v>33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/>
    </row>
    <row r="33" spans="1:16" ht="17.25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1"/>
    </row>
    <row r="34" spans="1:16" ht="17.25" customHeight="1">
      <c r="A34" s="32" t="s">
        <v>34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1"/>
    </row>
    <row r="35" spans="1:16" ht="17.2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/>
    </row>
    <row r="36" spans="1:16" ht="17.25" customHeight="1">
      <c r="A36" s="12" t="s">
        <v>35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1"/>
    </row>
    <row r="37" spans="1:16" ht="17.25" customHeight="1">
      <c r="A37" s="9"/>
      <c r="B37" s="28" t="s">
        <v>36</v>
      </c>
      <c r="C37" s="10"/>
      <c r="D37" s="10"/>
      <c r="E37" s="28" t="s">
        <v>37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1"/>
    </row>
    <row r="38" spans="1:16" ht="17.25" customHeight="1">
      <c r="A38" s="9"/>
      <c r="B38" s="28" t="s">
        <v>38</v>
      </c>
      <c r="C38" s="10"/>
      <c r="D38" s="10"/>
      <c r="E38" s="28" t="s">
        <v>39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1"/>
    </row>
    <row r="39" spans="1:16" ht="17.25" customHeight="1">
      <c r="A39" s="9"/>
      <c r="B39" s="28" t="s">
        <v>40</v>
      </c>
      <c r="C39" s="10"/>
      <c r="D39" s="10"/>
      <c r="E39" s="33" t="s">
        <v>41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1"/>
    </row>
    <row r="40" spans="1:16" ht="17.25" customHeight="1">
      <c r="A40" s="9"/>
      <c r="B40" s="28" t="s">
        <v>42</v>
      </c>
      <c r="C40" s="10"/>
      <c r="D40" s="10"/>
      <c r="E40" s="33" t="s">
        <v>43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1"/>
    </row>
    <row r="41" spans="1:16" ht="17.25" customHeight="1">
      <c r="A41" s="9"/>
      <c r="B41" s="28" t="s">
        <v>44</v>
      </c>
      <c r="C41" s="10"/>
      <c r="D41" s="10"/>
      <c r="E41" s="33" t="s">
        <v>45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1"/>
    </row>
    <row r="42" spans="1:16" ht="17.25" customHeight="1">
      <c r="A42" s="9"/>
      <c r="B42" s="28" t="s">
        <v>46</v>
      </c>
      <c r="C42" s="10"/>
      <c r="D42" s="10"/>
      <c r="E42" s="33" t="s">
        <v>47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1"/>
    </row>
    <row r="43" spans="1:16" ht="16.5" customHeight="1">
      <c r="A43" s="34"/>
      <c r="B43" s="35" t="s">
        <v>48</v>
      </c>
      <c r="C43" s="36"/>
      <c r="D43" s="683"/>
      <c r="E43" s="37" t="s">
        <v>49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8"/>
    </row>
  </sheetData>
  <sheetProtection password="E074" sheet="1" objects="1" scenarios="1"/>
  <printOptions/>
  <pageMargins left="0.7875" right="0.354861" top="0.577083" bottom="0.576389" header="0.511806" footer="0.511806"/>
  <pageSetup horizontalDpi="600" verticalDpi="600" orientation="portrait" scale="85"/>
  <headerFooter alignWithMargins="0">
    <oddFooter>&amp;C000000&amp;P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89"/>
  <sheetViews>
    <sheetView showGridLines="0" workbookViewId="0" topLeftCell="A1">
      <pane ySplit="1" topLeftCell="BM42" activePane="bottomLeft" state="frozen"/>
      <selection pane="topLeft" activeCell="M41" sqref="M41"/>
      <selection pane="bottomLeft" activeCell="G63" sqref="G63"/>
    </sheetView>
  </sheetViews>
  <sheetFormatPr defaultColWidth="9.140625" defaultRowHeight="14.25" customHeight="1"/>
  <cols>
    <col min="1" max="1" width="9.421875" style="5" customWidth="1"/>
    <col min="2" max="2" width="10.421875" style="5" customWidth="1"/>
    <col min="3" max="3" width="9.8515625" style="5" customWidth="1"/>
    <col min="4" max="4" width="30.421875" style="5" customWidth="1"/>
    <col min="5" max="5" width="23.8515625" style="5" customWidth="1"/>
    <col min="6" max="6" width="9.8515625" style="5" customWidth="1"/>
    <col min="7" max="7" width="21.00390625" style="5" customWidth="1"/>
    <col min="8" max="16384" width="10.8515625" style="5" customWidth="1"/>
  </cols>
  <sheetData>
    <row r="1" spans="1:7" ht="13.5" customHeight="1">
      <c r="A1" s="39" t="s">
        <v>51</v>
      </c>
      <c r="B1" s="39" t="s">
        <v>52</v>
      </c>
      <c r="C1" s="40" t="s">
        <v>53</v>
      </c>
      <c r="D1" s="39" t="s">
        <v>54</v>
      </c>
      <c r="E1" s="39" t="s">
        <v>55</v>
      </c>
      <c r="F1" s="39" t="s">
        <v>56</v>
      </c>
      <c r="G1" s="39" t="s">
        <v>57</v>
      </c>
    </row>
    <row r="2" spans="1:7" ht="13.5" customHeight="1">
      <c r="A2" s="41">
        <v>1</v>
      </c>
      <c r="B2" s="666">
        <v>8</v>
      </c>
      <c r="C2" s="42">
        <f>IF(G2="","",VALUE(CONCATENATE(B2,F2)))</f>
        <v>81</v>
      </c>
      <c r="D2" s="667" t="s">
        <v>58</v>
      </c>
      <c r="E2" s="668" t="s">
        <v>59</v>
      </c>
      <c r="F2" s="43">
        <v>1</v>
      </c>
      <c r="G2" s="669" t="s">
        <v>60</v>
      </c>
    </row>
    <row r="3" spans="1:7" ht="13.5" customHeight="1">
      <c r="A3" s="41">
        <f aca="true" t="shared" si="0" ref="A3:A34">A2+1</f>
        <v>2</v>
      </c>
      <c r="B3" s="44">
        <f>IF(F3=1,"",IF(B2="","",B2))</f>
        <v>8</v>
      </c>
      <c r="C3" s="45">
        <f>IF(G3="","",VALUE(CONCATENATE(B3,F3)))</f>
        <v>82</v>
      </c>
      <c r="D3" s="46" t="str">
        <f aca="true" t="shared" si="1" ref="D3:E5">IF(D2="","",D2)</f>
        <v>Baja HTP</v>
      </c>
      <c r="E3" s="46" t="str">
        <f t="shared" si="1"/>
        <v>Döntősök</v>
      </c>
      <c r="F3" s="45">
        <v>2</v>
      </c>
      <c r="G3" s="672" t="s">
        <v>61</v>
      </c>
    </row>
    <row r="4" spans="1:7" ht="13.5" customHeight="1">
      <c r="A4" s="41">
        <f t="shared" si="0"/>
        <v>3</v>
      </c>
      <c r="B4" s="44">
        <f>IF(F4=1,"",IF(B3="","",B3))</f>
        <v>8</v>
      </c>
      <c r="C4" s="45">
        <f>IF(G5="","",VALUE(CONCATENATE(B4,F4)))</f>
        <v>83</v>
      </c>
      <c r="D4" s="46" t="str">
        <f t="shared" si="1"/>
        <v>Baja HTP</v>
      </c>
      <c r="E4" s="46" t="str">
        <f t="shared" si="1"/>
        <v>Döntősök</v>
      </c>
      <c r="F4" s="45">
        <v>3</v>
      </c>
      <c r="G4" s="672" t="s">
        <v>62</v>
      </c>
    </row>
    <row r="5" spans="1:7" ht="13.5" customHeight="1">
      <c r="A5" s="41">
        <f t="shared" si="0"/>
        <v>4</v>
      </c>
      <c r="B5" s="44">
        <f>IF(F5=1,"",IF(B4="","",B4))</f>
        <v>8</v>
      </c>
      <c r="C5" s="45">
        <f>IF(G2="","",VALUE(CONCATENATE(B5,F5)))</f>
        <v>84</v>
      </c>
      <c r="D5" s="46" t="str">
        <f t="shared" si="1"/>
        <v>Baja HTP</v>
      </c>
      <c r="E5" s="46" t="str">
        <f t="shared" si="1"/>
        <v>Döntősök</v>
      </c>
      <c r="F5" s="45">
        <v>4</v>
      </c>
      <c r="G5" s="672" t="s">
        <v>63</v>
      </c>
    </row>
    <row r="6" spans="1:7" ht="13.5" customHeight="1">
      <c r="A6" s="41">
        <f t="shared" si="0"/>
        <v>5</v>
      </c>
      <c r="B6" s="666">
        <v>9</v>
      </c>
      <c r="C6" s="42">
        <f aca="true" t="shared" si="2" ref="C6:C37">IF(G6="","",VALUE(CONCATENATE(B6,F6)))</f>
        <v>91</v>
      </c>
      <c r="D6" s="670" t="s">
        <v>64</v>
      </c>
      <c r="E6" s="671" t="s">
        <v>64</v>
      </c>
      <c r="F6" s="43">
        <v>1</v>
      </c>
      <c r="G6" s="669" t="s">
        <v>65</v>
      </c>
    </row>
    <row r="7" spans="1:7" ht="13.5" customHeight="1">
      <c r="A7" s="41">
        <f t="shared" si="0"/>
        <v>6</v>
      </c>
      <c r="B7" s="44">
        <f>IF(F7=1,"",IF(B6="","",B6))</f>
        <v>9</v>
      </c>
      <c r="C7" s="45">
        <f t="shared" si="2"/>
        <v>92</v>
      </c>
      <c r="D7" s="46" t="str">
        <f aca="true" t="shared" si="3" ref="D7:E9">IF(D6="","",D6)</f>
        <v>Kecskemét HTP</v>
      </c>
      <c r="E7" s="46" t="str">
        <f t="shared" si="3"/>
        <v>Kecskemét HTP</v>
      </c>
      <c r="F7" s="45">
        <v>2</v>
      </c>
      <c r="G7" s="672" t="s">
        <v>67</v>
      </c>
    </row>
    <row r="8" spans="1:7" ht="13.5" customHeight="1">
      <c r="A8" s="41">
        <f t="shared" si="0"/>
        <v>7</v>
      </c>
      <c r="B8" s="44">
        <f>IF(F8=1,"",IF(B7="","",B7))</f>
        <v>9</v>
      </c>
      <c r="C8" s="45">
        <f t="shared" si="2"/>
        <v>93</v>
      </c>
      <c r="D8" s="46" t="str">
        <f t="shared" si="3"/>
        <v>Kecskemét HTP</v>
      </c>
      <c r="E8" s="46" t="str">
        <f t="shared" si="3"/>
        <v>Kecskemét HTP</v>
      </c>
      <c r="F8" s="45">
        <v>3</v>
      </c>
      <c r="G8" s="672" t="s">
        <v>674</v>
      </c>
    </row>
    <row r="9" spans="1:7" ht="13.5" customHeight="1">
      <c r="A9" s="41">
        <f t="shared" si="0"/>
        <v>8</v>
      </c>
      <c r="B9" s="44">
        <f>IF(F9=1,"",IF(B8="","",B8))</f>
        <v>9</v>
      </c>
      <c r="C9" s="45">
        <f t="shared" si="2"/>
        <v>94</v>
      </c>
      <c r="D9" s="46" t="str">
        <f t="shared" si="3"/>
        <v>Kecskemét HTP</v>
      </c>
      <c r="E9" s="46" t="str">
        <f t="shared" si="3"/>
        <v>Kecskemét HTP</v>
      </c>
      <c r="F9" s="45">
        <v>4</v>
      </c>
      <c r="G9" s="672" t="s">
        <v>66</v>
      </c>
    </row>
    <row r="10" spans="1:7" ht="13.5" customHeight="1">
      <c r="A10" s="41">
        <f t="shared" si="0"/>
        <v>9</v>
      </c>
      <c r="B10" s="666">
        <v>4</v>
      </c>
      <c r="C10" s="42">
        <f t="shared" si="2"/>
        <v>41</v>
      </c>
      <c r="D10" s="667" t="s">
        <v>68</v>
      </c>
      <c r="E10" s="668" t="s">
        <v>68</v>
      </c>
      <c r="F10" s="43">
        <v>1</v>
      </c>
      <c r="G10" s="669" t="s">
        <v>673</v>
      </c>
    </row>
    <row r="11" spans="1:7" ht="13.5" customHeight="1">
      <c r="A11" s="41">
        <f t="shared" si="0"/>
        <v>10</v>
      </c>
      <c r="B11" s="47">
        <f>IF(F11=1,"",IF(B10="","",B10))</f>
        <v>4</v>
      </c>
      <c r="C11" s="45">
        <f t="shared" si="2"/>
        <v>42</v>
      </c>
      <c r="D11" s="46" t="str">
        <f aca="true" t="shared" si="4" ref="D11:E13">IF(D10="","",D10)</f>
        <v>Barcs HTP</v>
      </c>
      <c r="E11" s="46" t="str">
        <f t="shared" si="4"/>
        <v>Barcs HTP</v>
      </c>
      <c r="F11" s="45">
        <v>2</v>
      </c>
      <c r="G11" s="672" t="s">
        <v>70</v>
      </c>
    </row>
    <row r="12" spans="1:7" ht="13.5" customHeight="1">
      <c r="A12" s="41">
        <f t="shared" si="0"/>
        <v>11</v>
      </c>
      <c r="B12" s="47">
        <f>IF(F12=1,"",IF(B11="","",B11))</f>
        <v>4</v>
      </c>
      <c r="C12" s="45">
        <f t="shared" si="2"/>
        <v>43</v>
      </c>
      <c r="D12" s="46" t="str">
        <f t="shared" si="4"/>
        <v>Barcs HTP</v>
      </c>
      <c r="E12" s="46" t="str">
        <f t="shared" si="4"/>
        <v>Barcs HTP</v>
      </c>
      <c r="F12" s="45">
        <v>3</v>
      </c>
      <c r="G12" s="672" t="s">
        <v>69</v>
      </c>
    </row>
    <row r="13" spans="1:7" ht="13.5" customHeight="1">
      <c r="A13" s="41">
        <f t="shared" si="0"/>
        <v>12</v>
      </c>
      <c r="B13" s="47">
        <f>IF(F13=1,"",IF(B12="","",B12))</f>
        <v>4</v>
      </c>
      <c r="C13" s="45">
        <f t="shared" si="2"/>
        <v>44</v>
      </c>
      <c r="D13" s="46" t="str">
        <f t="shared" si="4"/>
        <v>Barcs HTP</v>
      </c>
      <c r="E13" s="46" t="str">
        <f t="shared" si="4"/>
        <v>Barcs HTP</v>
      </c>
      <c r="F13" s="45">
        <v>4</v>
      </c>
      <c r="G13" s="672" t="s">
        <v>71</v>
      </c>
    </row>
    <row r="14" spans="1:7" ht="13.5" customHeight="1">
      <c r="A14" s="41">
        <f t="shared" si="0"/>
        <v>13</v>
      </c>
      <c r="B14" s="666">
        <v>14</v>
      </c>
      <c r="C14" s="42">
        <f t="shared" si="2"/>
        <v>141</v>
      </c>
      <c r="D14" s="668" t="s">
        <v>72</v>
      </c>
      <c r="E14" s="668" t="s">
        <v>73</v>
      </c>
      <c r="F14" s="43">
        <v>1</v>
      </c>
      <c r="G14" s="1117" t="s">
        <v>671</v>
      </c>
    </row>
    <row r="15" spans="1:7" ht="13.5" customHeight="1">
      <c r="A15" s="41">
        <f t="shared" si="0"/>
        <v>14</v>
      </c>
      <c r="B15" s="47">
        <f>IF(F15=1,"",IF(B14="","",B14))</f>
        <v>14</v>
      </c>
      <c r="C15" s="45">
        <f t="shared" si="2"/>
        <v>142</v>
      </c>
      <c r="D15" s="46" t="str">
        <f aca="true" t="shared" si="5" ref="D15:E17">IF(D14="","",D14)</f>
        <v>XIX. kerületi HTP</v>
      </c>
      <c r="E15" s="46" t="str">
        <f t="shared" si="5"/>
        <v>Kispesti Tűzes Hódok</v>
      </c>
      <c r="F15" s="45">
        <v>2</v>
      </c>
      <c r="G15" s="735" t="s">
        <v>672</v>
      </c>
    </row>
    <row r="16" spans="1:7" ht="13.5" customHeight="1">
      <c r="A16" s="41">
        <f t="shared" si="0"/>
        <v>15</v>
      </c>
      <c r="B16" s="47">
        <f>IF(F16=1,"",IF(B15="","",B15))</f>
        <v>14</v>
      </c>
      <c r="C16" s="45">
        <f t="shared" si="2"/>
        <v>143</v>
      </c>
      <c r="D16" s="46" t="str">
        <f t="shared" si="5"/>
        <v>XIX. kerületi HTP</v>
      </c>
      <c r="E16" s="46" t="str">
        <f t="shared" si="5"/>
        <v>Kispesti Tűzes Hódok</v>
      </c>
      <c r="F16" s="45">
        <v>3</v>
      </c>
      <c r="G16" s="674" t="s">
        <v>74</v>
      </c>
    </row>
    <row r="17" spans="1:7" ht="13.5" customHeight="1">
      <c r="A17" s="41">
        <f t="shared" si="0"/>
        <v>16</v>
      </c>
      <c r="B17" s="47">
        <f>IF(F17=1,"",IF(B16="","",B16))</f>
        <v>14</v>
      </c>
      <c r="C17" s="45">
        <f t="shared" si="2"/>
      </c>
      <c r="D17" s="46" t="str">
        <f t="shared" si="5"/>
        <v>XIX. kerületi HTP</v>
      </c>
      <c r="E17" s="46" t="str">
        <f t="shared" si="5"/>
        <v>Kispesti Tűzes Hódok</v>
      </c>
      <c r="F17" s="45">
        <v>4</v>
      </c>
      <c r="G17" s="674"/>
    </row>
    <row r="18" spans="1:7" ht="13.5" customHeight="1">
      <c r="A18" s="41">
        <f t="shared" si="0"/>
        <v>17</v>
      </c>
      <c r="B18" s="666">
        <v>10</v>
      </c>
      <c r="C18" s="42">
        <f t="shared" si="2"/>
        <v>101</v>
      </c>
      <c r="D18" s="668" t="s">
        <v>75</v>
      </c>
      <c r="E18" s="668" t="s">
        <v>75</v>
      </c>
      <c r="F18" s="43">
        <v>1</v>
      </c>
      <c r="G18" s="673" t="s">
        <v>76</v>
      </c>
    </row>
    <row r="19" spans="1:7" ht="13.5" customHeight="1">
      <c r="A19" s="41">
        <f t="shared" si="0"/>
        <v>18</v>
      </c>
      <c r="B19" s="47">
        <f>IF(F19=1,"",IF(B18="","",B18))</f>
        <v>10</v>
      </c>
      <c r="C19" s="45">
        <f t="shared" si="2"/>
        <v>102</v>
      </c>
      <c r="D19" s="46" t="str">
        <f aca="true" t="shared" si="6" ref="D19:E21">IF(D18="","",D18)</f>
        <v>Csongrád MKI</v>
      </c>
      <c r="E19" s="46" t="str">
        <f t="shared" si="6"/>
        <v>Csongrád MKI</v>
      </c>
      <c r="F19" s="45">
        <v>2</v>
      </c>
      <c r="G19" s="674" t="s">
        <v>77</v>
      </c>
    </row>
    <row r="20" spans="1:7" ht="13.5" customHeight="1">
      <c r="A20" s="41">
        <f t="shared" si="0"/>
        <v>19</v>
      </c>
      <c r="B20" s="47">
        <f>IF(F20=1,"",IF(B19="","",B19))</f>
        <v>10</v>
      </c>
      <c r="C20" s="45">
        <f t="shared" si="2"/>
        <v>103</v>
      </c>
      <c r="D20" s="46" t="str">
        <f t="shared" si="6"/>
        <v>Csongrád MKI</v>
      </c>
      <c r="E20" s="46" t="str">
        <f t="shared" si="6"/>
        <v>Csongrád MKI</v>
      </c>
      <c r="F20" s="45">
        <v>3</v>
      </c>
      <c r="G20" s="674" t="s">
        <v>78</v>
      </c>
    </row>
    <row r="21" spans="1:7" ht="13.5" customHeight="1">
      <c r="A21" s="41">
        <f t="shared" si="0"/>
        <v>20</v>
      </c>
      <c r="B21" s="47">
        <f>IF(F21=1,"",IF(B20="","",B20))</f>
        <v>10</v>
      </c>
      <c r="C21" s="45">
        <f t="shared" si="2"/>
        <v>104</v>
      </c>
      <c r="D21" s="46" t="str">
        <f t="shared" si="6"/>
        <v>Csongrád MKI</v>
      </c>
      <c r="E21" s="46" t="str">
        <f t="shared" si="6"/>
        <v>Csongrád MKI</v>
      </c>
      <c r="F21" s="45">
        <v>4</v>
      </c>
      <c r="G21" s="674" t="s">
        <v>79</v>
      </c>
    </row>
    <row r="22" spans="1:7" ht="13.5" customHeight="1">
      <c r="A22" s="41">
        <f t="shared" si="0"/>
        <v>21</v>
      </c>
      <c r="B22" s="666">
        <v>2</v>
      </c>
      <c r="C22" s="42">
        <f t="shared" si="2"/>
        <v>21</v>
      </c>
      <c r="D22" s="668" t="s">
        <v>80</v>
      </c>
      <c r="E22" s="668" t="s">
        <v>80</v>
      </c>
      <c r="F22" s="43">
        <v>1</v>
      </c>
      <c r="G22" s="673" t="s">
        <v>81</v>
      </c>
    </row>
    <row r="23" spans="1:7" ht="13.5" customHeight="1">
      <c r="A23" s="41">
        <f t="shared" si="0"/>
        <v>22</v>
      </c>
      <c r="B23" s="44">
        <f>IF(F23=1,"",IF(B22="","",B22))</f>
        <v>2</v>
      </c>
      <c r="C23" s="45">
        <f t="shared" si="2"/>
        <v>22</v>
      </c>
      <c r="D23" s="46" t="str">
        <f aca="true" t="shared" si="7" ref="D23:E25">IF(D22="","",D22)</f>
        <v>Hajdúnánási HTP</v>
      </c>
      <c r="E23" s="46" t="str">
        <f t="shared" si="7"/>
        <v>Hajdúnánási HTP</v>
      </c>
      <c r="F23" s="45">
        <v>2</v>
      </c>
      <c r="G23" s="674" t="s">
        <v>82</v>
      </c>
    </row>
    <row r="24" spans="1:7" ht="13.5" customHeight="1">
      <c r="A24" s="41">
        <f t="shared" si="0"/>
        <v>23</v>
      </c>
      <c r="B24" s="44">
        <f>IF(F24=1,"",IF(B23="","",B23))</f>
        <v>2</v>
      </c>
      <c r="C24" s="45">
        <f t="shared" si="2"/>
        <v>23</v>
      </c>
      <c r="D24" s="46" t="str">
        <f t="shared" si="7"/>
        <v>Hajdúnánási HTP</v>
      </c>
      <c r="E24" s="46" t="str">
        <f t="shared" si="7"/>
        <v>Hajdúnánási HTP</v>
      </c>
      <c r="F24" s="45">
        <v>3</v>
      </c>
      <c r="G24" s="674" t="s">
        <v>83</v>
      </c>
    </row>
    <row r="25" spans="1:7" ht="13.5" customHeight="1">
      <c r="A25" s="41">
        <f t="shared" si="0"/>
        <v>24</v>
      </c>
      <c r="B25" s="44">
        <f>IF(F25=1,"",IF(B24="","",B24))</f>
        <v>2</v>
      </c>
      <c r="C25" s="45">
        <f t="shared" si="2"/>
        <v>24</v>
      </c>
      <c r="D25" s="46" t="str">
        <f t="shared" si="7"/>
        <v>Hajdúnánási HTP</v>
      </c>
      <c r="E25" s="46" t="str">
        <f t="shared" si="7"/>
        <v>Hajdúnánási HTP</v>
      </c>
      <c r="F25" s="45">
        <v>4</v>
      </c>
      <c r="G25" s="735" t="s">
        <v>669</v>
      </c>
    </row>
    <row r="26" spans="1:7" ht="13.5" customHeight="1">
      <c r="A26" s="41">
        <f t="shared" si="0"/>
        <v>25</v>
      </c>
      <c r="B26" s="666">
        <v>15</v>
      </c>
      <c r="C26" s="42">
        <f t="shared" si="2"/>
        <v>151</v>
      </c>
      <c r="D26" s="668" t="s">
        <v>84</v>
      </c>
      <c r="E26" s="668" t="s">
        <v>85</v>
      </c>
      <c r="F26" s="43">
        <v>1</v>
      </c>
      <c r="G26" s="673" t="s">
        <v>86</v>
      </c>
    </row>
    <row r="27" spans="1:7" ht="13.5" customHeight="1">
      <c r="A27" s="41">
        <f t="shared" si="0"/>
        <v>26</v>
      </c>
      <c r="B27" s="47">
        <f>IF(F27=1,"",IF(B26="","",B26))</f>
        <v>15</v>
      </c>
      <c r="C27" s="45">
        <f t="shared" si="2"/>
        <v>152</v>
      </c>
      <c r="D27" s="46" t="str">
        <f aca="true" t="shared" si="8" ref="D27:E29">IF(D26="","",D26)</f>
        <v>Gyöngyös HTP</v>
      </c>
      <c r="E27" s="46" t="str">
        <f t="shared" si="8"/>
        <v>Gyöngyösi Fanyűvők</v>
      </c>
      <c r="F27" s="45">
        <v>2</v>
      </c>
      <c r="G27" s="674" t="s">
        <v>87</v>
      </c>
    </row>
    <row r="28" spans="1:7" ht="13.5" customHeight="1">
      <c r="A28" s="41">
        <f t="shared" si="0"/>
        <v>27</v>
      </c>
      <c r="B28" s="47">
        <f>IF(F28=1,"",IF(B27="","",B27))</f>
        <v>15</v>
      </c>
      <c r="C28" s="45">
        <f t="shared" si="2"/>
        <v>153</v>
      </c>
      <c r="D28" s="46" t="str">
        <f t="shared" si="8"/>
        <v>Gyöngyös HTP</v>
      </c>
      <c r="E28" s="46" t="str">
        <f t="shared" si="8"/>
        <v>Gyöngyösi Fanyűvők</v>
      </c>
      <c r="F28" s="45">
        <v>3</v>
      </c>
      <c r="G28" s="674" t="s">
        <v>88</v>
      </c>
    </row>
    <row r="29" spans="1:7" ht="13.5" customHeight="1">
      <c r="A29" s="41">
        <f t="shared" si="0"/>
        <v>28</v>
      </c>
      <c r="B29" s="47">
        <f>IF(F29=1,"",IF(B28="","",B28))</f>
        <v>15</v>
      </c>
      <c r="C29" s="45">
        <f t="shared" si="2"/>
        <v>154</v>
      </c>
      <c r="D29" s="46" t="str">
        <f t="shared" si="8"/>
        <v>Gyöngyös HTP</v>
      </c>
      <c r="E29" s="46" t="str">
        <f t="shared" si="8"/>
        <v>Gyöngyösi Fanyűvők</v>
      </c>
      <c r="F29" s="45">
        <v>4</v>
      </c>
      <c r="G29" s="735" t="s">
        <v>670</v>
      </c>
    </row>
    <row r="30" spans="1:7" ht="13.5" customHeight="1">
      <c r="A30" s="41">
        <f t="shared" si="0"/>
        <v>29</v>
      </c>
      <c r="B30" s="666">
        <v>6</v>
      </c>
      <c r="C30" s="42">
        <f t="shared" si="2"/>
        <v>61</v>
      </c>
      <c r="D30" s="668" t="s">
        <v>89</v>
      </c>
      <c r="E30" s="668" t="s">
        <v>89</v>
      </c>
      <c r="F30" s="43">
        <v>1</v>
      </c>
      <c r="G30" s="673" t="s">
        <v>90</v>
      </c>
    </row>
    <row r="31" spans="1:7" ht="13.5" customHeight="1">
      <c r="A31" s="41">
        <f t="shared" si="0"/>
        <v>30</v>
      </c>
      <c r="B31" s="47">
        <f>IF(F31=1,"",IF(B30="","",B30))</f>
        <v>6</v>
      </c>
      <c r="C31" s="45">
        <f t="shared" si="2"/>
        <v>62</v>
      </c>
      <c r="D31" s="46" t="str">
        <f aca="true" t="shared" si="9" ref="D31:E33">IF(D30="","",D30)</f>
        <v>Egri HTP</v>
      </c>
      <c r="E31" s="46" t="str">
        <f t="shared" si="9"/>
        <v>Egri HTP</v>
      </c>
      <c r="F31" s="45">
        <v>2</v>
      </c>
      <c r="G31" s="674" t="s">
        <v>91</v>
      </c>
    </row>
    <row r="32" spans="1:7" ht="13.5" customHeight="1">
      <c r="A32" s="41">
        <f t="shared" si="0"/>
        <v>31</v>
      </c>
      <c r="B32" s="47">
        <f>IF(F32=1,"",IF(B31="","",B31))</f>
        <v>6</v>
      </c>
      <c r="C32" s="45">
        <f t="shared" si="2"/>
        <v>63</v>
      </c>
      <c r="D32" s="46" t="str">
        <f t="shared" si="9"/>
        <v>Egri HTP</v>
      </c>
      <c r="E32" s="46" t="str">
        <f t="shared" si="9"/>
        <v>Egri HTP</v>
      </c>
      <c r="F32" s="45">
        <v>3</v>
      </c>
      <c r="G32" s="674" t="s">
        <v>92</v>
      </c>
    </row>
    <row r="33" spans="1:7" ht="13.5" customHeight="1">
      <c r="A33" s="41">
        <f t="shared" si="0"/>
        <v>32</v>
      </c>
      <c r="B33" s="47">
        <f>IF(F33=1,"",IF(B32="","",B32))</f>
        <v>6</v>
      </c>
      <c r="C33" s="45">
        <f t="shared" si="2"/>
        <v>64</v>
      </c>
      <c r="D33" s="46" t="str">
        <f t="shared" si="9"/>
        <v>Egri HTP</v>
      </c>
      <c r="E33" s="46" t="str">
        <f t="shared" si="9"/>
        <v>Egri HTP</v>
      </c>
      <c r="F33" s="48">
        <v>4</v>
      </c>
      <c r="G33" s="674" t="s">
        <v>93</v>
      </c>
    </row>
    <row r="34" spans="1:7" ht="13.5" customHeight="1">
      <c r="A34" s="41">
        <f t="shared" si="0"/>
        <v>33</v>
      </c>
      <c r="B34" s="666">
        <v>1</v>
      </c>
      <c r="C34" s="42">
        <f t="shared" si="2"/>
        <v>11</v>
      </c>
      <c r="D34" s="668" t="s">
        <v>94</v>
      </c>
      <c r="E34" s="668" t="s">
        <v>95</v>
      </c>
      <c r="F34" s="43">
        <v>1</v>
      </c>
      <c r="G34" s="673" t="s">
        <v>96</v>
      </c>
    </row>
    <row r="35" spans="1:7" ht="13.5" customHeight="1">
      <c r="A35" s="41">
        <f aca="true" t="shared" si="10" ref="A35:A66">A34+1</f>
        <v>34</v>
      </c>
      <c r="B35" s="47">
        <f>IF(F35=1,"",IF(B34="","",B34))</f>
        <v>1</v>
      </c>
      <c r="C35" s="45">
        <f t="shared" si="2"/>
        <v>12</v>
      </c>
      <c r="D35" s="46" t="str">
        <f aca="true" t="shared" si="11" ref="D35:E37">IF(D34="","",D34)</f>
        <v>Mosonmagyaróvár HTP</v>
      </c>
      <c r="E35" s="46" t="str">
        <f t="shared" si="11"/>
        <v>Móvár</v>
      </c>
      <c r="F35" s="45">
        <v>2</v>
      </c>
      <c r="G35" s="674" t="s">
        <v>97</v>
      </c>
    </row>
    <row r="36" spans="1:7" ht="13.5" customHeight="1">
      <c r="A36" s="41">
        <f t="shared" si="10"/>
        <v>35</v>
      </c>
      <c r="B36" s="47">
        <f>IF(F36=1,"",IF(B35="","",B35))</f>
        <v>1</v>
      </c>
      <c r="C36" s="45">
        <f t="shared" si="2"/>
        <v>13</v>
      </c>
      <c r="D36" s="46" t="str">
        <f t="shared" si="11"/>
        <v>Mosonmagyaróvár HTP</v>
      </c>
      <c r="E36" s="46" t="str">
        <f t="shared" si="11"/>
        <v>Móvár</v>
      </c>
      <c r="F36" s="45">
        <v>3</v>
      </c>
      <c r="G36" s="674" t="s">
        <v>98</v>
      </c>
    </row>
    <row r="37" spans="1:7" ht="13.5" customHeight="1">
      <c r="A37" s="41">
        <f t="shared" si="10"/>
        <v>36</v>
      </c>
      <c r="B37" s="47">
        <f>IF(F37=1,"",IF(B36="","",B36))</f>
        <v>1</v>
      </c>
      <c r="C37" s="45">
        <f t="shared" si="2"/>
        <v>14</v>
      </c>
      <c r="D37" s="46" t="str">
        <f t="shared" si="11"/>
        <v>Mosonmagyaróvár HTP</v>
      </c>
      <c r="E37" s="46" t="str">
        <f t="shared" si="11"/>
        <v>Móvár</v>
      </c>
      <c r="F37" s="48">
        <v>4</v>
      </c>
      <c r="G37" s="674" t="s">
        <v>99</v>
      </c>
    </row>
    <row r="38" spans="1:7" ht="13.5" customHeight="1">
      <c r="A38" s="41">
        <f t="shared" si="10"/>
        <v>37</v>
      </c>
      <c r="B38" s="666">
        <v>3</v>
      </c>
      <c r="C38" s="42">
        <f aca="true" t="shared" si="12" ref="C38:C69">IF(G38="","",VALUE(CONCATENATE(B38,F38)))</f>
        <v>31</v>
      </c>
      <c r="D38" s="668" t="s">
        <v>100</v>
      </c>
      <c r="E38" s="668" t="s">
        <v>101</v>
      </c>
      <c r="F38" s="43">
        <v>1</v>
      </c>
      <c r="G38" s="674" t="s">
        <v>103</v>
      </c>
    </row>
    <row r="39" spans="1:7" ht="13.5" customHeight="1">
      <c r="A39" s="41">
        <f t="shared" si="10"/>
        <v>38</v>
      </c>
      <c r="B39" s="47">
        <f>IF(F39=1,"",IF(B38="","",B38))</f>
        <v>3</v>
      </c>
      <c r="C39" s="45">
        <f t="shared" si="12"/>
        <v>32</v>
      </c>
      <c r="D39" s="46" t="str">
        <f aca="true" t="shared" si="13" ref="D39:E41">IF(D38="","",D38)</f>
        <v>Pétfürdő HTP</v>
      </c>
      <c r="E39" s="46" t="str">
        <f t="shared" si="13"/>
        <v>Bakonyi rettenet</v>
      </c>
      <c r="F39" s="45">
        <v>2</v>
      </c>
      <c r="G39" s="674" t="s">
        <v>102</v>
      </c>
    </row>
    <row r="40" spans="1:7" ht="13.5" customHeight="1">
      <c r="A40" s="41">
        <f t="shared" si="10"/>
        <v>39</v>
      </c>
      <c r="B40" s="47">
        <f>IF(F40=1,"",IF(B39="","",B39))</f>
        <v>3</v>
      </c>
      <c r="C40" s="45">
        <f t="shared" si="12"/>
        <v>33</v>
      </c>
      <c r="D40" s="46" t="str">
        <f t="shared" si="13"/>
        <v>Pétfürdő HTP</v>
      </c>
      <c r="E40" s="46" t="str">
        <f t="shared" si="13"/>
        <v>Bakonyi rettenet</v>
      </c>
      <c r="F40" s="45">
        <v>3</v>
      </c>
      <c r="G40" s="735" t="s">
        <v>675</v>
      </c>
    </row>
    <row r="41" spans="1:7" ht="13.5" customHeight="1">
      <c r="A41" s="41">
        <f t="shared" si="10"/>
        <v>40</v>
      </c>
      <c r="B41" s="47">
        <f>IF(F41=1,"",IF(B40="","",B40))</f>
        <v>3</v>
      </c>
      <c r="C41" s="45">
        <f t="shared" si="12"/>
        <v>34</v>
      </c>
      <c r="D41" s="46" t="str">
        <f t="shared" si="13"/>
        <v>Pétfürdő HTP</v>
      </c>
      <c r="E41" s="46" t="str">
        <f t="shared" si="13"/>
        <v>Bakonyi rettenet</v>
      </c>
      <c r="F41" s="48">
        <v>4</v>
      </c>
      <c r="G41" s="674" t="s">
        <v>104</v>
      </c>
    </row>
    <row r="42" spans="1:7" ht="13.5" customHeight="1">
      <c r="A42" s="41">
        <f t="shared" si="10"/>
        <v>41</v>
      </c>
      <c r="B42" s="666">
        <v>5</v>
      </c>
      <c r="C42" s="42">
        <f t="shared" si="12"/>
        <v>51</v>
      </c>
      <c r="D42" s="668" t="s">
        <v>105</v>
      </c>
      <c r="E42" s="668" t="s">
        <v>106</v>
      </c>
      <c r="F42" s="43">
        <v>1</v>
      </c>
      <c r="G42" s="673" t="s">
        <v>107</v>
      </c>
    </row>
    <row r="43" spans="1:7" ht="13.5" customHeight="1">
      <c r="A43" s="41">
        <f t="shared" si="10"/>
        <v>42</v>
      </c>
      <c r="B43" s="47">
        <f>IF(F43=1,"",IF(B42="","",B42))</f>
        <v>5</v>
      </c>
      <c r="C43" s="45">
        <f t="shared" si="12"/>
        <v>52</v>
      </c>
      <c r="D43" s="46" t="str">
        <f aca="true" t="shared" si="14" ref="D43:E45">IF(D42="","",D42)</f>
        <v>Veszprém HTP</v>
      </c>
      <c r="E43" s="46" t="str">
        <f t="shared" si="14"/>
        <v>Veszprémi favágók</v>
      </c>
      <c r="F43" s="45">
        <v>2</v>
      </c>
      <c r="G43" s="735" t="s">
        <v>676</v>
      </c>
    </row>
    <row r="44" spans="1:7" ht="13.5" customHeight="1">
      <c r="A44" s="41">
        <f t="shared" si="10"/>
        <v>43</v>
      </c>
      <c r="B44" s="47">
        <f>IF(F44=1,"",IF(B43="","",B43))</f>
        <v>5</v>
      </c>
      <c r="C44" s="45">
        <f>IF(G44="","",VALUE(CONCATENATE(B44,F44)))</f>
        <v>53</v>
      </c>
      <c r="D44" s="46" t="str">
        <f t="shared" si="14"/>
        <v>Veszprém HTP</v>
      </c>
      <c r="E44" s="46" t="str">
        <f t="shared" si="14"/>
        <v>Veszprémi favágók</v>
      </c>
      <c r="F44" s="45">
        <v>3</v>
      </c>
      <c r="G44" s="674" t="s">
        <v>108</v>
      </c>
    </row>
    <row r="45" spans="1:7" ht="13.5" customHeight="1">
      <c r="A45" s="41">
        <f t="shared" si="10"/>
        <v>44</v>
      </c>
      <c r="B45" s="47">
        <f>IF(F45=1,"",IF(B44="","",B44))</f>
        <v>5</v>
      </c>
      <c r="C45" s="45">
        <f>IF(G45="","",VALUE(CONCATENATE(B45,F45)))</f>
      </c>
      <c r="D45" s="46" t="str">
        <f t="shared" si="14"/>
        <v>Veszprém HTP</v>
      </c>
      <c r="E45" s="46" t="str">
        <f t="shared" si="14"/>
        <v>Veszprémi favágók</v>
      </c>
      <c r="F45" s="48">
        <v>4</v>
      </c>
      <c r="G45" s="674"/>
    </row>
    <row r="46" spans="1:7" ht="13.5" customHeight="1">
      <c r="A46" s="41">
        <f t="shared" si="10"/>
        <v>45</v>
      </c>
      <c r="B46" s="666">
        <v>16</v>
      </c>
      <c r="C46" s="42">
        <f t="shared" si="12"/>
        <v>161</v>
      </c>
      <c r="D46" s="668" t="s">
        <v>109</v>
      </c>
      <c r="E46" s="668" t="s">
        <v>110</v>
      </c>
      <c r="F46" s="43">
        <v>1</v>
      </c>
      <c r="G46" s="673" t="s">
        <v>111</v>
      </c>
    </row>
    <row r="47" spans="1:7" ht="13.5" customHeight="1">
      <c r="A47" s="41">
        <f t="shared" si="10"/>
        <v>46</v>
      </c>
      <c r="B47" s="47">
        <f>IF(F47=1,"",IF(B46="","",B46))</f>
        <v>16</v>
      </c>
      <c r="C47" s="45">
        <f t="shared" si="12"/>
        <v>162</v>
      </c>
      <c r="D47" s="46" t="str">
        <f aca="true" t="shared" si="15" ref="D47:E49">IF(D46="","",D46)</f>
        <v>Encs HTP</v>
      </c>
      <c r="E47" s="46" t="str">
        <f t="shared" si="15"/>
        <v>Encsi Tűzoltóság</v>
      </c>
      <c r="F47" s="45">
        <v>2</v>
      </c>
      <c r="G47" s="674" t="s">
        <v>112</v>
      </c>
    </row>
    <row r="48" spans="1:7" ht="13.5" customHeight="1">
      <c r="A48" s="41">
        <f t="shared" si="10"/>
        <v>47</v>
      </c>
      <c r="B48" s="47">
        <f>IF(F48=1,"",IF(B47="","",B47))</f>
        <v>16</v>
      </c>
      <c r="C48" s="45">
        <f t="shared" si="12"/>
        <v>163</v>
      </c>
      <c r="D48" s="46" t="str">
        <f t="shared" si="15"/>
        <v>Encs HTP</v>
      </c>
      <c r="E48" s="46" t="str">
        <f t="shared" si="15"/>
        <v>Encsi Tűzoltóság</v>
      </c>
      <c r="F48" s="45">
        <v>3</v>
      </c>
      <c r="G48" s="674" t="s">
        <v>113</v>
      </c>
    </row>
    <row r="49" spans="1:7" ht="13.5" customHeight="1">
      <c r="A49" s="41">
        <f t="shared" si="10"/>
        <v>48</v>
      </c>
      <c r="B49" s="47">
        <f>IF(F49=1,"",IF(B48="","",B48))</f>
        <v>16</v>
      </c>
      <c r="C49" s="45">
        <f t="shared" si="12"/>
        <v>164</v>
      </c>
      <c r="D49" s="46" t="str">
        <f t="shared" si="15"/>
        <v>Encs HTP</v>
      </c>
      <c r="E49" s="46" t="str">
        <f t="shared" si="15"/>
        <v>Encsi Tűzoltóság</v>
      </c>
      <c r="F49" s="48">
        <v>4</v>
      </c>
      <c r="G49" s="674" t="s">
        <v>114</v>
      </c>
    </row>
    <row r="50" spans="1:7" ht="13.5" customHeight="1">
      <c r="A50" s="41">
        <f t="shared" si="10"/>
        <v>49</v>
      </c>
      <c r="B50" s="666">
        <v>12</v>
      </c>
      <c r="C50" s="42">
        <f t="shared" si="12"/>
        <v>121</v>
      </c>
      <c r="D50" s="668" t="s">
        <v>115</v>
      </c>
      <c r="E50" s="668" t="s">
        <v>116</v>
      </c>
      <c r="F50" s="43">
        <v>1</v>
      </c>
      <c r="G50" s="673" t="s">
        <v>117</v>
      </c>
    </row>
    <row r="51" spans="1:7" ht="13.5" customHeight="1">
      <c r="A51" s="41">
        <f t="shared" si="10"/>
        <v>50</v>
      </c>
      <c r="B51" s="44">
        <f>IF(F51=1,"",IF(B50="","",B50))</f>
        <v>12</v>
      </c>
      <c r="C51" s="45">
        <f t="shared" si="12"/>
        <v>122</v>
      </c>
      <c r="D51" s="46" t="str">
        <f aca="true" t="shared" si="16" ref="D51:E53">IF(D50="","",D50)</f>
        <v>Mátészalka HTP</v>
      </c>
      <c r="E51" s="46" t="str">
        <f t="shared" si="16"/>
        <v>Mátészalka</v>
      </c>
      <c r="F51" s="45">
        <v>2</v>
      </c>
      <c r="G51" s="674" t="s">
        <v>118</v>
      </c>
    </row>
    <row r="52" spans="1:7" ht="13.5" customHeight="1">
      <c r="A52" s="41">
        <f t="shared" si="10"/>
        <v>51</v>
      </c>
      <c r="B52" s="44">
        <f>IF(F52=1,"",IF(B51="","",B51))</f>
        <v>12</v>
      </c>
      <c r="C52" s="45">
        <f t="shared" si="12"/>
        <v>123</v>
      </c>
      <c r="D52" s="46" t="str">
        <f t="shared" si="16"/>
        <v>Mátészalka HTP</v>
      </c>
      <c r="E52" s="46" t="str">
        <f t="shared" si="16"/>
        <v>Mátészalka</v>
      </c>
      <c r="F52" s="45">
        <v>3</v>
      </c>
      <c r="G52" s="674" t="s">
        <v>119</v>
      </c>
    </row>
    <row r="53" spans="1:7" ht="13.5" customHeight="1">
      <c r="A53" s="41">
        <f t="shared" si="10"/>
        <v>52</v>
      </c>
      <c r="B53" s="44">
        <f>IF(F53=1,"",IF(B52="","",B52))</f>
        <v>12</v>
      </c>
      <c r="C53" s="45">
        <f t="shared" si="12"/>
        <v>124</v>
      </c>
      <c r="D53" s="46" t="str">
        <f t="shared" si="16"/>
        <v>Mátészalka HTP</v>
      </c>
      <c r="E53" s="46" t="str">
        <f t="shared" si="16"/>
        <v>Mátészalka</v>
      </c>
      <c r="F53" s="48">
        <v>4</v>
      </c>
      <c r="G53" s="674" t="s">
        <v>120</v>
      </c>
    </row>
    <row r="54" spans="1:7" ht="13.5" customHeight="1">
      <c r="A54" s="41">
        <f t="shared" si="10"/>
        <v>53</v>
      </c>
      <c r="B54" s="666">
        <v>13</v>
      </c>
      <c r="C54" s="42">
        <f t="shared" si="12"/>
        <v>131</v>
      </c>
      <c r="D54" s="668" t="s">
        <v>121</v>
      </c>
      <c r="E54" s="668" t="s">
        <v>122</v>
      </c>
      <c r="F54" s="43">
        <v>1</v>
      </c>
      <c r="G54" s="673" t="s">
        <v>123</v>
      </c>
    </row>
    <row r="55" spans="1:7" ht="13.5" customHeight="1">
      <c r="A55" s="41">
        <f t="shared" si="10"/>
        <v>54</v>
      </c>
      <c r="B55" s="47">
        <f>IF(F55=1,"",IF(B54="","",B54))</f>
        <v>13</v>
      </c>
      <c r="C55" s="45">
        <f t="shared" si="12"/>
        <v>132</v>
      </c>
      <c r="D55" s="46" t="str">
        <f aca="true" t="shared" si="17" ref="D55:E57">IF(D54="","",D54)</f>
        <v>Miskolc HTP</v>
      </c>
      <c r="E55" s="46" t="str">
        <f t="shared" si="17"/>
        <v>Miskolci Tűzoltók</v>
      </c>
      <c r="F55" s="45">
        <v>2</v>
      </c>
      <c r="G55" s="674" t="s">
        <v>124</v>
      </c>
    </row>
    <row r="56" spans="1:7" ht="13.5" customHeight="1">
      <c r="A56" s="41">
        <f t="shared" si="10"/>
        <v>55</v>
      </c>
      <c r="B56" s="47">
        <f>IF(F56=1,"",IF(B55="","",B55))</f>
        <v>13</v>
      </c>
      <c r="C56" s="45">
        <f t="shared" si="12"/>
        <v>133</v>
      </c>
      <c r="D56" s="46" t="str">
        <f t="shared" si="17"/>
        <v>Miskolc HTP</v>
      </c>
      <c r="E56" s="46" t="str">
        <f t="shared" si="17"/>
        <v>Miskolci Tűzoltók</v>
      </c>
      <c r="F56" s="45">
        <v>3</v>
      </c>
      <c r="G56" s="674" t="s">
        <v>125</v>
      </c>
    </row>
    <row r="57" spans="1:7" ht="13.5" customHeight="1">
      <c r="A57" s="41">
        <f t="shared" si="10"/>
        <v>56</v>
      </c>
      <c r="B57" s="47">
        <f>IF(F57=1,"",IF(B56="","",B56))</f>
        <v>13</v>
      </c>
      <c r="C57" s="45">
        <f t="shared" si="12"/>
        <v>134</v>
      </c>
      <c r="D57" s="46" t="str">
        <f t="shared" si="17"/>
        <v>Miskolc HTP</v>
      </c>
      <c r="E57" s="46" t="str">
        <f t="shared" si="17"/>
        <v>Miskolci Tűzoltók</v>
      </c>
      <c r="F57" s="48">
        <v>4</v>
      </c>
      <c r="G57" s="674" t="s">
        <v>126</v>
      </c>
    </row>
    <row r="58" spans="1:7" ht="13.5" customHeight="1">
      <c r="A58" s="41">
        <f t="shared" si="10"/>
        <v>57</v>
      </c>
      <c r="B58" s="675">
        <v>11</v>
      </c>
      <c r="C58" s="42">
        <f t="shared" si="12"/>
        <v>111</v>
      </c>
      <c r="D58" s="668" t="s">
        <v>127</v>
      </c>
      <c r="E58" s="668" t="s">
        <v>128</v>
      </c>
      <c r="F58" s="43">
        <v>1</v>
      </c>
      <c r="G58" s="674" t="s">
        <v>130</v>
      </c>
    </row>
    <row r="59" spans="1:7" ht="13.5" customHeight="1">
      <c r="A59" s="41">
        <f t="shared" si="10"/>
        <v>58</v>
      </c>
      <c r="B59" s="47">
        <f>IF(F59=1,"",IF(B58="","",B58))</f>
        <v>11</v>
      </c>
      <c r="C59" s="45">
        <f t="shared" si="12"/>
        <v>112</v>
      </c>
      <c r="D59" s="46" t="str">
        <f aca="true" t="shared" si="18" ref="D59:E61">IF(D58="","",D58)</f>
        <v>Tiszafüred HTP</v>
      </c>
      <c r="E59" s="46" t="str">
        <f t="shared" si="18"/>
        <v>Tiszafüredi Duó</v>
      </c>
      <c r="F59" s="45">
        <v>2</v>
      </c>
      <c r="G59" s="735" t="s">
        <v>129</v>
      </c>
    </row>
    <row r="60" spans="1:7" ht="13.5" customHeight="1">
      <c r="A60" s="41">
        <f t="shared" si="10"/>
        <v>59</v>
      </c>
      <c r="B60" s="47">
        <f>IF(F60=1,"",IF(B59="","",B59))</f>
        <v>11</v>
      </c>
      <c r="C60" s="40">
        <f t="shared" si="12"/>
      </c>
      <c r="D60" s="46" t="str">
        <f t="shared" si="18"/>
        <v>Tiszafüred HTP</v>
      </c>
      <c r="E60" s="46" t="str">
        <f t="shared" si="18"/>
        <v>Tiszafüredi Duó</v>
      </c>
      <c r="F60" s="45">
        <v>3</v>
      </c>
      <c r="G60" s="676"/>
    </row>
    <row r="61" spans="1:7" ht="13.5" customHeight="1">
      <c r="A61" s="41">
        <f t="shared" si="10"/>
        <v>60</v>
      </c>
      <c r="B61" s="47">
        <f>IF(F61=1,"",IF(B60="","",B60))</f>
        <v>11</v>
      </c>
      <c r="C61" s="40">
        <f t="shared" si="12"/>
      </c>
      <c r="D61" s="46" t="str">
        <f t="shared" si="18"/>
        <v>Tiszafüred HTP</v>
      </c>
      <c r="E61" s="46" t="str">
        <f t="shared" si="18"/>
        <v>Tiszafüredi Duó</v>
      </c>
      <c r="F61" s="48">
        <v>4</v>
      </c>
      <c r="G61" s="676"/>
    </row>
    <row r="62" spans="1:7" ht="13.5" customHeight="1">
      <c r="A62" s="41">
        <f t="shared" si="10"/>
        <v>61</v>
      </c>
      <c r="B62" s="666">
        <v>7</v>
      </c>
      <c r="C62" s="49">
        <f t="shared" si="12"/>
        <v>71</v>
      </c>
      <c r="D62" s="668" t="s">
        <v>131</v>
      </c>
      <c r="E62" s="668" t="s">
        <v>132</v>
      </c>
      <c r="F62" s="43">
        <v>1</v>
      </c>
      <c r="G62" s="673" t="s">
        <v>133</v>
      </c>
    </row>
    <row r="63" spans="1:7" ht="13.5" customHeight="1">
      <c r="A63" s="41">
        <f t="shared" si="10"/>
        <v>62</v>
      </c>
      <c r="B63" s="47">
        <f>IF(F63=1,"",IF(B62="","",B62))</f>
        <v>7</v>
      </c>
      <c r="C63" s="48">
        <f t="shared" si="12"/>
        <v>72</v>
      </c>
      <c r="D63" s="46" t="str">
        <f aca="true" t="shared" si="19" ref="D63:E65">IF(D62="","",D62)</f>
        <v>Kiskunhalas HTP</v>
      </c>
      <c r="E63" s="46" t="str">
        <f t="shared" si="19"/>
        <v>Halasi tűzoltók</v>
      </c>
      <c r="F63" s="45">
        <v>2</v>
      </c>
      <c r="G63" s="735" t="s">
        <v>677</v>
      </c>
    </row>
    <row r="64" spans="1:7" ht="13.5" customHeight="1">
      <c r="A64" s="41">
        <f t="shared" si="10"/>
        <v>63</v>
      </c>
      <c r="B64" s="47">
        <f>IF(F64=1,"",IF(B63="","",B63))</f>
        <v>7</v>
      </c>
      <c r="C64" s="48">
        <f t="shared" si="12"/>
        <v>73</v>
      </c>
      <c r="D64" s="46" t="str">
        <f t="shared" si="19"/>
        <v>Kiskunhalas HTP</v>
      </c>
      <c r="E64" s="46" t="str">
        <f t="shared" si="19"/>
        <v>Halasi tűzoltók</v>
      </c>
      <c r="F64" s="45">
        <v>3</v>
      </c>
      <c r="G64" s="674" t="s">
        <v>134</v>
      </c>
    </row>
    <row r="65" spans="1:7" ht="13.5" customHeight="1">
      <c r="A65" s="41">
        <f t="shared" si="10"/>
        <v>64</v>
      </c>
      <c r="B65" s="47">
        <f>IF(F65=1,"",IF(B64="","",B64))</f>
        <v>7</v>
      </c>
      <c r="C65" s="48">
        <f t="shared" si="12"/>
        <v>74</v>
      </c>
      <c r="D65" s="46" t="str">
        <f t="shared" si="19"/>
        <v>Kiskunhalas HTP</v>
      </c>
      <c r="E65" s="46" t="str">
        <f t="shared" si="19"/>
        <v>Halasi tűzoltók</v>
      </c>
      <c r="F65" s="48">
        <v>4</v>
      </c>
      <c r="G65" s="674" t="s">
        <v>135</v>
      </c>
    </row>
    <row r="66" spans="1:7" ht="13.5" customHeight="1">
      <c r="A66" s="41">
        <f t="shared" si="10"/>
        <v>65</v>
      </c>
      <c r="B66" s="666"/>
      <c r="C66" s="50">
        <f t="shared" si="12"/>
      </c>
      <c r="D66" s="677"/>
      <c r="E66" s="677"/>
      <c r="F66" s="43">
        <v>1</v>
      </c>
      <c r="G66" s="678"/>
    </row>
    <row r="67" spans="1:7" ht="13.5" customHeight="1">
      <c r="A67" s="41">
        <f aca="true" t="shared" si="20" ref="A67:A89">A66+1</f>
        <v>66</v>
      </c>
      <c r="B67" s="47">
        <f>IF(F67=1,"",IF(B66="","",B66))</f>
      </c>
      <c r="C67" s="40">
        <f t="shared" si="12"/>
      </c>
      <c r="D67" s="46">
        <f aca="true" t="shared" si="21" ref="D67:E69">IF(D66="","",D66)</f>
      </c>
      <c r="E67" s="46">
        <f t="shared" si="21"/>
      </c>
      <c r="F67" s="45">
        <v>2</v>
      </c>
      <c r="G67" s="676"/>
    </row>
    <row r="68" spans="1:7" ht="13.5" customHeight="1">
      <c r="A68" s="41">
        <f t="shared" si="20"/>
        <v>67</v>
      </c>
      <c r="B68" s="47">
        <f>IF(F68=1,"",IF(B67="","",B67))</f>
      </c>
      <c r="C68" s="40">
        <f t="shared" si="12"/>
      </c>
      <c r="D68" s="46">
        <f t="shared" si="21"/>
      </c>
      <c r="E68" s="46">
        <f t="shared" si="21"/>
      </c>
      <c r="F68" s="45">
        <v>3</v>
      </c>
      <c r="G68" s="676"/>
    </row>
    <row r="69" spans="1:7" ht="13.5" customHeight="1">
      <c r="A69" s="41">
        <f t="shared" si="20"/>
        <v>68</v>
      </c>
      <c r="B69" s="47">
        <f>IF(F69=1,"",IF(B68="","",B68))</f>
      </c>
      <c r="C69" s="40">
        <f t="shared" si="12"/>
      </c>
      <c r="D69" s="46">
        <f t="shared" si="21"/>
      </c>
      <c r="E69" s="46">
        <f t="shared" si="21"/>
      </c>
      <c r="F69" s="48">
        <v>4</v>
      </c>
      <c r="G69" s="676"/>
    </row>
    <row r="70" spans="1:7" ht="13.5" customHeight="1">
      <c r="A70" s="41">
        <f t="shared" si="20"/>
        <v>69</v>
      </c>
      <c r="B70" s="666"/>
      <c r="C70" s="51">
        <f aca="true" t="shared" si="22" ref="C70:C89">IF(G70="","",VALUE(CONCATENATE(B70,F70)))</f>
      </c>
      <c r="D70" s="677"/>
      <c r="E70" s="677"/>
      <c r="F70" s="43">
        <v>1</v>
      </c>
      <c r="G70" s="678"/>
    </row>
    <row r="71" spans="1:7" ht="13.5" customHeight="1">
      <c r="A71" s="41">
        <f t="shared" si="20"/>
        <v>70</v>
      </c>
      <c r="B71" s="47">
        <f>IF(F71=1,"",IF(B70="","",B70))</f>
      </c>
      <c r="C71" s="40">
        <f t="shared" si="22"/>
      </c>
      <c r="D71" s="46">
        <f aca="true" t="shared" si="23" ref="D71:E73">IF(D70="","",D70)</f>
      </c>
      <c r="E71" s="46">
        <f t="shared" si="23"/>
      </c>
      <c r="F71" s="45">
        <v>2</v>
      </c>
      <c r="G71" s="676"/>
    </row>
    <row r="72" spans="1:7" ht="13.5" customHeight="1">
      <c r="A72" s="41">
        <f t="shared" si="20"/>
        <v>71</v>
      </c>
      <c r="B72" s="47">
        <f>IF(F72=1,"",IF(B71="","",B71))</f>
      </c>
      <c r="C72" s="40">
        <f t="shared" si="22"/>
      </c>
      <c r="D72" s="46">
        <f t="shared" si="23"/>
      </c>
      <c r="E72" s="46">
        <f t="shared" si="23"/>
      </c>
      <c r="F72" s="45">
        <v>3</v>
      </c>
      <c r="G72" s="676"/>
    </row>
    <row r="73" spans="1:7" ht="13.5" customHeight="1">
      <c r="A73" s="41">
        <f t="shared" si="20"/>
        <v>72</v>
      </c>
      <c r="B73" s="47">
        <f>IF(F73=1,"",IF(B72="","",B72))</f>
      </c>
      <c r="C73" s="40">
        <f t="shared" si="22"/>
      </c>
      <c r="D73" s="46">
        <f t="shared" si="23"/>
      </c>
      <c r="E73" s="46">
        <f t="shared" si="23"/>
      </c>
      <c r="F73" s="48">
        <v>4</v>
      </c>
      <c r="G73" s="676"/>
    </row>
    <row r="74" spans="1:7" ht="13.5" customHeight="1">
      <c r="A74" s="41">
        <f t="shared" si="20"/>
        <v>73</v>
      </c>
      <c r="B74" s="666"/>
      <c r="C74" s="51">
        <f t="shared" si="22"/>
      </c>
      <c r="D74" s="677"/>
      <c r="E74" s="677"/>
      <c r="F74" s="43">
        <v>1</v>
      </c>
      <c r="G74" s="678"/>
    </row>
    <row r="75" spans="1:7" ht="13.5" customHeight="1">
      <c r="A75" s="41">
        <f t="shared" si="20"/>
        <v>74</v>
      </c>
      <c r="B75" s="47">
        <f>IF(F75=1,"",IF(B74="","",B74))</f>
      </c>
      <c r="C75" s="40">
        <f t="shared" si="22"/>
      </c>
      <c r="D75" s="46">
        <f aca="true" t="shared" si="24" ref="D75:E77">IF(D74="","",D74)</f>
      </c>
      <c r="E75" s="46">
        <f t="shared" si="24"/>
      </c>
      <c r="F75" s="45">
        <v>2</v>
      </c>
      <c r="G75" s="676"/>
    </row>
    <row r="76" spans="1:7" ht="13.5" customHeight="1">
      <c r="A76" s="41">
        <f t="shared" si="20"/>
        <v>75</v>
      </c>
      <c r="B76" s="47">
        <f>IF(F76=1,"",IF(B75="","",B75))</f>
      </c>
      <c r="C76" s="40">
        <f t="shared" si="22"/>
      </c>
      <c r="D76" s="46">
        <f t="shared" si="24"/>
      </c>
      <c r="E76" s="46">
        <f t="shared" si="24"/>
      </c>
      <c r="F76" s="45">
        <v>3</v>
      </c>
      <c r="G76" s="676"/>
    </row>
    <row r="77" spans="1:7" ht="13.5" customHeight="1">
      <c r="A77" s="41">
        <f t="shared" si="20"/>
        <v>76</v>
      </c>
      <c r="B77" s="47">
        <f>IF(F77=1,"",IF(B76="","",B76))</f>
      </c>
      <c r="C77" s="40">
        <f t="shared" si="22"/>
      </c>
      <c r="D77" s="46">
        <f t="shared" si="24"/>
      </c>
      <c r="E77" s="46">
        <f t="shared" si="24"/>
      </c>
      <c r="F77" s="48">
        <v>4</v>
      </c>
      <c r="G77" s="676"/>
    </row>
    <row r="78" spans="1:7" ht="13.5" customHeight="1">
      <c r="A78" s="41">
        <f t="shared" si="20"/>
        <v>77</v>
      </c>
      <c r="B78" s="666"/>
      <c r="C78" s="51">
        <f t="shared" si="22"/>
      </c>
      <c r="D78" s="677"/>
      <c r="E78" s="677"/>
      <c r="F78" s="43">
        <v>1</v>
      </c>
      <c r="G78" s="678"/>
    </row>
    <row r="79" spans="1:7" ht="13.5" customHeight="1">
      <c r="A79" s="41">
        <f t="shared" si="20"/>
        <v>78</v>
      </c>
      <c r="B79" s="47">
        <f>IF(F79=1,"",IF(B78="","",B78))</f>
      </c>
      <c r="C79" s="40">
        <f t="shared" si="22"/>
      </c>
      <c r="D79" s="46">
        <f aca="true" t="shared" si="25" ref="D79:E81">IF(D78="","",D78)</f>
      </c>
      <c r="E79" s="46">
        <f t="shared" si="25"/>
      </c>
      <c r="F79" s="45">
        <v>2</v>
      </c>
      <c r="G79" s="676"/>
    </row>
    <row r="80" spans="1:7" ht="13.5" customHeight="1">
      <c r="A80" s="41">
        <f t="shared" si="20"/>
        <v>79</v>
      </c>
      <c r="B80" s="47">
        <f>IF(F80=1,"",IF(B79="","",B79))</f>
      </c>
      <c r="C80" s="40">
        <f t="shared" si="22"/>
      </c>
      <c r="D80" s="46">
        <f t="shared" si="25"/>
      </c>
      <c r="E80" s="46">
        <f t="shared" si="25"/>
      </c>
      <c r="F80" s="45">
        <v>3</v>
      </c>
      <c r="G80" s="676"/>
    </row>
    <row r="81" spans="1:7" ht="13.5" customHeight="1">
      <c r="A81" s="41">
        <f t="shared" si="20"/>
        <v>80</v>
      </c>
      <c r="B81" s="47">
        <f>IF(F81=1,"",IF(B80="","",B80))</f>
      </c>
      <c r="C81" s="40">
        <f t="shared" si="22"/>
      </c>
      <c r="D81" s="46">
        <f t="shared" si="25"/>
      </c>
      <c r="E81" s="46">
        <f t="shared" si="25"/>
      </c>
      <c r="F81" s="48">
        <v>4</v>
      </c>
      <c r="G81" s="676"/>
    </row>
    <row r="82" spans="1:7" ht="13.5" customHeight="1">
      <c r="A82" s="41">
        <f t="shared" si="20"/>
        <v>81</v>
      </c>
      <c r="B82" s="666"/>
      <c r="C82" s="51">
        <f t="shared" si="22"/>
      </c>
      <c r="D82" s="677"/>
      <c r="E82" s="677"/>
      <c r="F82" s="43">
        <v>1</v>
      </c>
      <c r="G82" s="678"/>
    </row>
    <row r="83" spans="1:7" ht="13.5" customHeight="1">
      <c r="A83" s="41">
        <f t="shared" si="20"/>
        <v>82</v>
      </c>
      <c r="B83" s="47">
        <f>IF(F83=1,"",IF(B82="","",B82))</f>
      </c>
      <c r="C83" s="40">
        <f t="shared" si="22"/>
      </c>
      <c r="D83" s="46">
        <f aca="true" t="shared" si="26" ref="D83:E85">IF(D82="","",D82)</f>
      </c>
      <c r="E83" s="46">
        <f t="shared" si="26"/>
      </c>
      <c r="F83" s="45">
        <v>2</v>
      </c>
      <c r="G83" s="676"/>
    </row>
    <row r="84" spans="1:7" ht="13.5" customHeight="1">
      <c r="A84" s="41">
        <f t="shared" si="20"/>
        <v>83</v>
      </c>
      <c r="B84" s="47">
        <f>IF(F84=1,"",IF(B83="","",B83))</f>
      </c>
      <c r="C84" s="40">
        <f t="shared" si="22"/>
      </c>
      <c r="D84" s="46">
        <f t="shared" si="26"/>
      </c>
      <c r="E84" s="46">
        <f t="shared" si="26"/>
      </c>
      <c r="F84" s="45">
        <v>3</v>
      </c>
      <c r="G84" s="676"/>
    </row>
    <row r="85" spans="1:7" ht="13.5" customHeight="1">
      <c r="A85" s="41">
        <f t="shared" si="20"/>
        <v>84</v>
      </c>
      <c r="B85" s="47">
        <f>IF(F85=1,"",IF(B84="","",B84))</f>
      </c>
      <c r="C85" s="40">
        <f t="shared" si="22"/>
      </c>
      <c r="D85" s="46">
        <f t="shared" si="26"/>
      </c>
      <c r="E85" s="46">
        <f t="shared" si="26"/>
      </c>
      <c r="F85" s="48">
        <v>4</v>
      </c>
      <c r="G85" s="676"/>
    </row>
    <row r="86" spans="1:7" ht="13.5" customHeight="1">
      <c r="A86" s="41">
        <f t="shared" si="20"/>
        <v>85</v>
      </c>
      <c r="B86" s="666"/>
      <c r="C86" s="51">
        <f t="shared" si="22"/>
      </c>
      <c r="D86" s="677"/>
      <c r="E86" s="677"/>
      <c r="F86" s="43">
        <v>1</v>
      </c>
      <c r="G86" s="678"/>
    </row>
    <row r="87" spans="1:7" ht="13.5" customHeight="1">
      <c r="A87" s="41">
        <f t="shared" si="20"/>
        <v>86</v>
      </c>
      <c r="B87" s="47">
        <f>IF(F87=1,"",IF(B86="","",B86))</f>
      </c>
      <c r="C87" s="40">
        <f t="shared" si="22"/>
      </c>
      <c r="D87" s="46">
        <f aca="true" t="shared" si="27" ref="D87:E89">IF(D86="","",D86)</f>
      </c>
      <c r="E87" s="46">
        <f t="shared" si="27"/>
      </c>
      <c r="F87" s="45">
        <v>2</v>
      </c>
      <c r="G87" s="676"/>
    </row>
    <row r="88" spans="1:7" ht="13.5" customHeight="1">
      <c r="A88" s="41">
        <f t="shared" si="20"/>
        <v>87</v>
      </c>
      <c r="B88" s="47">
        <f>IF(F88=1,"",IF(B87="","",B87))</f>
      </c>
      <c r="C88" s="40">
        <f t="shared" si="22"/>
      </c>
      <c r="D88" s="46">
        <f t="shared" si="27"/>
      </c>
      <c r="E88" s="46">
        <f t="shared" si="27"/>
      </c>
      <c r="F88" s="45">
        <v>3</v>
      </c>
      <c r="G88" s="676"/>
    </row>
    <row r="89" spans="1:7" ht="13.5" customHeight="1">
      <c r="A89" s="41">
        <f t="shared" si="20"/>
        <v>88</v>
      </c>
      <c r="B89" s="47">
        <f>IF(F89=1,"",IF(B88="","",B88))</f>
      </c>
      <c r="C89" s="40">
        <f t="shared" si="22"/>
      </c>
      <c r="D89" s="46">
        <f t="shared" si="27"/>
      </c>
      <c r="E89" s="46">
        <f t="shared" si="27"/>
      </c>
      <c r="F89" s="48">
        <v>4</v>
      </c>
      <c r="G89" s="676"/>
    </row>
  </sheetData>
  <sheetProtection password="E074" sheet="1" objects="1" scenarios="1"/>
  <printOptions/>
  <pageMargins left="0.7875" right="0.354861" top="0.577083" bottom="0.576389" header="0.511806" footer="0.511806"/>
  <pageSetup horizontalDpi="600" verticalDpi="600" orientation="portrait" scale="85"/>
  <headerFooter alignWithMargins="0">
    <oddFooter>&amp;C000000&amp;P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F91"/>
  <sheetViews>
    <sheetView showGridLines="0" workbookViewId="0" topLeftCell="A1">
      <pane xSplit="5" ySplit="3" topLeftCell="AB25" activePane="bottomRight" state="frozen"/>
      <selection pane="topLeft" activeCell="M41" sqref="M41"/>
      <selection pane="topRight" activeCell="M41" sqref="M41"/>
      <selection pane="bottomLeft" activeCell="M41" sqref="M41"/>
      <selection pane="bottomRight" activeCell="AE52" sqref="AE52:AE55"/>
    </sheetView>
  </sheetViews>
  <sheetFormatPr defaultColWidth="9.140625" defaultRowHeight="14.25" customHeight="1"/>
  <cols>
    <col min="1" max="1" width="10.7109375" style="5" customWidth="1"/>
    <col min="2" max="2" width="11.28125" style="5" customWidth="1"/>
    <col min="3" max="3" width="9.00390625" style="5" customWidth="1"/>
    <col min="4" max="4" width="16.140625" style="5" customWidth="1"/>
    <col min="5" max="5" width="14.140625" style="5" customWidth="1"/>
    <col min="6" max="6" width="10.140625" style="5" customWidth="1"/>
    <col min="7" max="7" width="9.00390625" style="5" customWidth="1"/>
    <col min="8" max="13" width="10.140625" style="5" customWidth="1"/>
    <col min="14" max="16" width="9.421875" style="5" customWidth="1"/>
    <col min="17" max="17" width="4.28125" style="5" customWidth="1"/>
    <col min="18" max="18" width="10.28125" style="5" customWidth="1"/>
    <col min="19" max="23" width="10.140625" style="5" customWidth="1"/>
    <col min="24" max="24" width="7.140625" style="5" customWidth="1"/>
    <col min="25" max="32" width="10.140625" style="5" customWidth="1"/>
    <col min="33" max="16384" width="10.8515625" style="5" customWidth="1"/>
  </cols>
  <sheetData>
    <row r="1" spans="1:32" ht="13.5" customHeight="1">
      <c r="A1" s="52"/>
      <c r="B1" s="52"/>
      <c r="C1" s="53"/>
      <c r="D1" s="53"/>
      <c r="E1" s="54"/>
      <c r="F1" s="720" t="s">
        <v>137</v>
      </c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55"/>
      <c r="R1" s="734" t="s">
        <v>138</v>
      </c>
      <c r="S1" s="722"/>
      <c r="T1" s="722"/>
      <c r="U1" s="722"/>
      <c r="V1" s="722"/>
      <c r="W1" s="722"/>
      <c r="X1" s="722"/>
      <c r="Y1" s="722"/>
      <c r="Z1" s="722"/>
      <c r="AA1" s="722"/>
      <c r="AB1" s="722"/>
      <c r="AC1" s="722"/>
      <c r="AD1" s="722"/>
      <c r="AE1" s="722"/>
      <c r="AF1" s="56"/>
    </row>
    <row r="2" spans="1:32" ht="13.5" customHeight="1">
      <c r="A2" s="57" t="s">
        <v>139</v>
      </c>
      <c r="B2" s="57" t="s">
        <v>140</v>
      </c>
      <c r="C2" s="53"/>
      <c r="D2" s="53"/>
      <c r="E2" s="53"/>
      <c r="F2" s="58"/>
      <c r="G2" s="59"/>
      <c r="H2" s="59"/>
      <c r="I2" s="59"/>
      <c r="J2" s="59"/>
      <c r="K2" s="59"/>
      <c r="L2" s="59"/>
      <c r="M2" s="59"/>
      <c r="N2" s="59"/>
      <c r="O2" s="59"/>
      <c r="P2" s="59"/>
      <c r="Q2" s="53"/>
      <c r="R2" s="58"/>
      <c r="S2" s="60"/>
      <c r="T2" s="59"/>
      <c r="U2" s="60"/>
      <c r="V2" s="59"/>
      <c r="W2" s="60"/>
      <c r="X2" s="59"/>
      <c r="Y2" s="60"/>
      <c r="Z2" s="59"/>
      <c r="AA2" s="60"/>
      <c r="AB2" s="59"/>
      <c r="AC2" s="60"/>
      <c r="AD2" s="59"/>
      <c r="AE2" s="60"/>
      <c r="AF2" s="60"/>
    </row>
    <row r="3" spans="1:32" ht="28.5" customHeight="1">
      <c r="A3" s="61" t="s">
        <v>52</v>
      </c>
      <c r="B3" s="61" t="s">
        <v>141</v>
      </c>
      <c r="C3" s="61" t="s">
        <v>56</v>
      </c>
      <c r="D3" s="61" t="s">
        <v>57</v>
      </c>
      <c r="E3" s="61" t="s">
        <v>139</v>
      </c>
      <c r="F3" s="61" t="s">
        <v>142</v>
      </c>
      <c r="G3" s="62" t="s">
        <v>143</v>
      </c>
      <c r="H3" s="61" t="s">
        <v>144</v>
      </c>
      <c r="I3" s="62" t="s">
        <v>143</v>
      </c>
      <c r="J3" s="63" t="s">
        <v>145</v>
      </c>
      <c r="K3" s="62" t="s">
        <v>143</v>
      </c>
      <c r="L3" s="63" t="s">
        <v>146</v>
      </c>
      <c r="M3" s="62" t="s">
        <v>143</v>
      </c>
      <c r="N3" s="61" t="s">
        <v>147</v>
      </c>
      <c r="O3" s="62" t="s">
        <v>143</v>
      </c>
      <c r="P3" s="64" t="s">
        <v>148</v>
      </c>
      <c r="Q3" s="65"/>
      <c r="R3" s="66" t="s">
        <v>142</v>
      </c>
      <c r="S3" s="67" t="s">
        <v>149</v>
      </c>
      <c r="T3" s="68" t="s">
        <v>144</v>
      </c>
      <c r="U3" s="67" t="s">
        <v>149</v>
      </c>
      <c r="V3" s="69" t="s">
        <v>145</v>
      </c>
      <c r="W3" s="67" t="s">
        <v>149</v>
      </c>
      <c r="X3" s="69" t="s">
        <v>146</v>
      </c>
      <c r="Y3" s="67" t="s">
        <v>149</v>
      </c>
      <c r="Z3" s="68" t="s">
        <v>147</v>
      </c>
      <c r="AA3" s="67" t="s">
        <v>149</v>
      </c>
      <c r="AB3" s="69" t="s">
        <v>150</v>
      </c>
      <c r="AC3" s="67" t="s">
        <v>149</v>
      </c>
      <c r="AD3" s="69" t="s">
        <v>151</v>
      </c>
      <c r="AE3" s="67" t="s">
        <v>149</v>
      </c>
      <c r="AF3" s="70" t="s">
        <v>152</v>
      </c>
    </row>
    <row r="4" spans="1:32" ht="13.5" customHeight="1">
      <c r="A4" s="71" t="s">
        <v>153</v>
      </c>
      <c r="B4" s="72">
        <v>11</v>
      </c>
      <c r="C4" s="73">
        <f>IF(B4="","",VLOOKUP(B4,Nevezés!$C$2:$G$81,4,FALSE))</f>
        <v>1</v>
      </c>
      <c r="D4" s="74" t="str">
        <f>IF(B4="","",VLOOKUP(B4,Nevezés!$C$2:$G$89,5,FALSE))</f>
        <v>Ásványi Péter</v>
      </c>
      <c r="E4" s="75" t="str">
        <f>IF(B4="","",VLOOKUP(B4,Nevezés!$C$2:$G$81,2,FALSE))</f>
        <v>Mosonmagyaróvár HTP</v>
      </c>
      <c r="F4" s="679">
        <v>469</v>
      </c>
      <c r="G4" s="680">
        <v>0</v>
      </c>
      <c r="H4" s="679">
        <v>0</v>
      </c>
      <c r="I4" s="680">
        <v>50</v>
      </c>
      <c r="J4" s="679">
        <v>73</v>
      </c>
      <c r="K4" s="680">
        <v>50</v>
      </c>
      <c r="L4" s="679">
        <v>124</v>
      </c>
      <c r="M4" s="680">
        <v>80</v>
      </c>
      <c r="N4" s="679">
        <v>328</v>
      </c>
      <c r="O4" s="680">
        <v>20</v>
      </c>
      <c r="P4" s="76">
        <f aca="true" t="shared" si="0" ref="P4:P35">G4+I4+K4+M4+O4</f>
        <v>200</v>
      </c>
      <c r="Q4" s="77"/>
      <c r="R4" s="78">
        <f aca="true" t="shared" si="1" ref="R4:R35">IF(F4="",0,F4)</f>
        <v>469</v>
      </c>
      <c r="S4" s="79">
        <f aca="true" t="shared" si="2" ref="S4:S35">IF(R4="","",RANK(R4,$R$4:$R$91))</f>
        <v>39</v>
      </c>
      <c r="T4" s="78">
        <f aca="true" t="shared" si="3" ref="T4:T35">IF(H4="",0,H4)</f>
        <v>0</v>
      </c>
      <c r="U4" s="79">
        <f aca="true" t="shared" si="4" ref="U4:U35">IF(T4="","",RANK(T4,$T$4:$T$91))</f>
        <v>45</v>
      </c>
      <c r="V4" s="78">
        <f>IF(J4=0,0,IF(SUM(J4)&gt;0,MAX(J4),""))</f>
        <v>73</v>
      </c>
      <c r="W4" s="79">
        <f aca="true" t="shared" si="5" ref="W4:W35">IF(V4="","",RANK(V4,$V$4:$V$91))</f>
        <v>32</v>
      </c>
      <c r="X4" s="78">
        <f>IF(L4=0,0,IF(SUM(L4)&gt;0,MAX(L4),""))</f>
        <v>124</v>
      </c>
      <c r="Y4" s="79">
        <f aca="true" t="shared" si="6" ref="Y4:Y35">IF(X4="","",RANK(X4,$X$4:$X$91))</f>
        <v>20</v>
      </c>
      <c r="Z4" s="78">
        <f>IF(N4=0,0,IF(SUM(N4)&gt;0,MAX(N4),""))</f>
        <v>328</v>
      </c>
      <c r="AA4" s="79">
        <f aca="true" t="shared" si="7" ref="AA4:AA35">IF(Z4="","",RANK(Z4,$Z$4:$Z$91))</f>
        <v>7</v>
      </c>
      <c r="AB4" s="80">
        <f aca="true" t="shared" si="8" ref="AB4:AB35">R4+T4+V4+X4+Z4</f>
        <v>994</v>
      </c>
      <c r="AC4" s="79">
        <f aca="true" t="shared" si="9" ref="AC4:AC35">IF(AB4="","",RANK(AB4,$AB$4:$AB$91))</f>
        <v>20</v>
      </c>
      <c r="AD4" s="726">
        <f>SUM(AB4:AB7)</f>
        <v>3645</v>
      </c>
      <c r="AE4" s="740">
        <f>IF(AD4="","",RANK(AD4,$AD$4:$AD$91))</f>
        <v>6</v>
      </c>
      <c r="AF4" s="738">
        <f>P4+P5+P6+P7</f>
        <v>890</v>
      </c>
    </row>
    <row r="5" spans="1:32" ht="13.5" customHeight="1">
      <c r="A5" s="81" t="s">
        <v>153</v>
      </c>
      <c r="B5" s="82">
        <v>12</v>
      </c>
      <c r="C5" s="83">
        <f>IF(B5="","",VLOOKUP(B5,Nevezés!$C$2:$G$81,4,FALSE))</f>
        <v>2</v>
      </c>
      <c r="D5" s="84" t="str">
        <f>IF(B5="","",VLOOKUP(B5,Nevezés!$C$2:$G$89,5,FALSE))</f>
        <v>Derzsi Tamás</v>
      </c>
      <c r="E5" s="85" t="str">
        <f>IF(B5="","",VLOOKUP(B5,Nevezés!$C$2:$G$81,2,FALSE))</f>
        <v>Mosonmagyaróvár HTP</v>
      </c>
      <c r="F5" s="679">
        <v>594</v>
      </c>
      <c r="G5" s="680">
        <v>0</v>
      </c>
      <c r="H5" s="679">
        <v>67</v>
      </c>
      <c r="I5" s="680">
        <v>0</v>
      </c>
      <c r="J5" s="679">
        <v>152</v>
      </c>
      <c r="K5" s="680">
        <v>0</v>
      </c>
      <c r="L5" s="679">
        <v>135</v>
      </c>
      <c r="M5" s="680">
        <v>20</v>
      </c>
      <c r="N5" s="679">
        <v>314</v>
      </c>
      <c r="O5" s="680">
        <v>60</v>
      </c>
      <c r="P5" s="76">
        <f t="shared" si="0"/>
        <v>80</v>
      </c>
      <c r="Q5" s="77"/>
      <c r="R5" s="86">
        <f t="shared" si="1"/>
        <v>594</v>
      </c>
      <c r="S5" s="87">
        <f t="shared" si="2"/>
        <v>13</v>
      </c>
      <c r="T5" s="86">
        <f t="shared" si="3"/>
        <v>67</v>
      </c>
      <c r="U5" s="87">
        <f t="shared" si="4"/>
        <v>20</v>
      </c>
      <c r="V5" s="86">
        <f>IF(J5=0,0,IF(SUM(J5)&gt;0,MAX(J5),""))</f>
        <v>152</v>
      </c>
      <c r="W5" s="87">
        <f t="shared" si="5"/>
        <v>6</v>
      </c>
      <c r="X5" s="86">
        <f>IF(L5=0,0,IF(SUM(L5)&gt;0,MAX(L5),""))</f>
        <v>135</v>
      </c>
      <c r="Y5" s="87">
        <f t="shared" si="6"/>
        <v>16</v>
      </c>
      <c r="Z5" s="86">
        <f>IF(N5=0,0,IF(SUM(N5)&gt;0,MAX(N5),""))</f>
        <v>314</v>
      </c>
      <c r="AA5" s="87">
        <f t="shared" si="7"/>
        <v>9</v>
      </c>
      <c r="AB5" s="88">
        <f t="shared" si="8"/>
        <v>1262</v>
      </c>
      <c r="AC5" s="87">
        <f t="shared" si="9"/>
        <v>7</v>
      </c>
      <c r="AD5" s="723"/>
      <c r="AE5" s="740"/>
      <c r="AF5" s="739"/>
    </row>
    <row r="6" spans="1:32" ht="13.5" customHeight="1">
      <c r="A6" s="89" t="s">
        <v>153</v>
      </c>
      <c r="B6" s="90">
        <v>13</v>
      </c>
      <c r="C6" s="91">
        <f>IF(B6="","",VLOOKUP(B6,Nevezés!$C$2:$G$81,4,FALSE))</f>
        <v>3</v>
      </c>
      <c r="D6" s="84" t="str">
        <f>IF(B6="","",VLOOKUP(B6,Nevezés!$C$2:$G$89,5,FALSE))</f>
        <v>Kézdi Gábor</v>
      </c>
      <c r="E6" s="92" t="str">
        <f>IF(B6="","",VLOOKUP(B6,Nevezés!$C$2:$G$81,2,FALSE))</f>
        <v>Mosonmagyaróvár HTP</v>
      </c>
      <c r="F6" s="679">
        <v>308</v>
      </c>
      <c r="G6" s="680">
        <v>70</v>
      </c>
      <c r="H6" s="679">
        <v>0</v>
      </c>
      <c r="I6" s="680">
        <v>0</v>
      </c>
      <c r="J6" s="679">
        <v>0</v>
      </c>
      <c r="K6" s="680">
        <v>120</v>
      </c>
      <c r="L6" s="679">
        <v>29</v>
      </c>
      <c r="M6" s="680">
        <v>180</v>
      </c>
      <c r="N6" s="679">
        <v>196</v>
      </c>
      <c r="O6" s="680">
        <v>60</v>
      </c>
      <c r="P6" s="76">
        <f t="shared" si="0"/>
        <v>430</v>
      </c>
      <c r="Q6" s="77"/>
      <c r="R6" s="86">
        <f t="shared" si="1"/>
        <v>308</v>
      </c>
      <c r="S6" s="87">
        <f t="shared" si="2"/>
        <v>58</v>
      </c>
      <c r="T6" s="86">
        <f t="shared" si="3"/>
        <v>0</v>
      </c>
      <c r="U6" s="87">
        <f t="shared" si="4"/>
        <v>45</v>
      </c>
      <c r="V6" s="86">
        <f>IF(J6=0,0,IF(SUM(J6)&gt;0,MAX(J6),""))</f>
        <v>0</v>
      </c>
      <c r="W6" s="87">
        <f t="shared" si="5"/>
        <v>46</v>
      </c>
      <c r="X6" s="86">
        <f>IF(L6=0,0,IF(SUM(L6)&gt;0,MAX(L6),""))</f>
        <v>29</v>
      </c>
      <c r="Y6" s="87">
        <f t="shared" si="6"/>
        <v>55</v>
      </c>
      <c r="Z6" s="86">
        <f>IF(N6=0,0,IF(SUM(N6)&gt;0,MAX(N6),""))</f>
        <v>196</v>
      </c>
      <c r="AA6" s="87">
        <f t="shared" si="7"/>
        <v>25</v>
      </c>
      <c r="AB6" s="88">
        <f t="shared" si="8"/>
        <v>533</v>
      </c>
      <c r="AC6" s="87">
        <f t="shared" si="9"/>
        <v>57</v>
      </c>
      <c r="AD6" s="724"/>
      <c r="AE6" s="740"/>
      <c r="AF6" s="739"/>
    </row>
    <row r="7" spans="1:32" ht="13.5" customHeight="1">
      <c r="A7" s="93" t="s">
        <v>153</v>
      </c>
      <c r="B7" s="94">
        <v>14</v>
      </c>
      <c r="C7" s="95">
        <f>IF(B7="","",VLOOKUP(B7,Nevezés!$C$2:$G$81,4,FALSE))</f>
        <v>4</v>
      </c>
      <c r="D7" s="84" t="str">
        <f>IF(B7="","",VLOOKUP(B7,Nevezés!$C$2:$G$89,5,FALSE))</f>
        <v>Németh Gábor</v>
      </c>
      <c r="E7" s="96" t="str">
        <f>IF(B7="","",VLOOKUP(B7,Nevezés!$C$2:$G$81,2,FALSE))</f>
        <v>Mosonmagyaróvár HTP</v>
      </c>
      <c r="F7" s="679">
        <v>403</v>
      </c>
      <c r="G7" s="680">
        <v>70</v>
      </c>
      <c r="H7" s="679">
        <v>83</v>
      </c>
      <c r="I7" s="680">
        <v>0</v>
      </c>
      <c r="J7" s="679">
        <v>58</v>
      </c>
      <c r="K7" s="680">
        <v>50</v>
      </c>
      <c r="L7" s="679">
        <v>68</v>
      </c>
      <c r="M7" s="680">
        <v>0</v>
      </c>
      <c r="N7" s="679">
        <v>244</v>
      </c>
      <c r="O7" s="680">
        <v>60</v>
      </c>
      <c r="P7" s="76">
        <f t="shared" si="0"/>
        <v>180</v>
      </c>
      <c r="Q7" s="77"/>
      <c r="R7" s="97">
        <f t="shared" si="1"/>
        <v>403</v>
      </c>
      <c r="S7" s="87">
        <f t="shared" si="2"/>
        <v>53</v>
      </c>
      <c r="T7" s="97">
        <f t="shared" si="3"/>
        <v>83</v>
      </c>
      <c r="U7" s="87">
        <f t="shared" si="4"/>
        <v>13</v>
      </c>
      <c r="V7" s="97">
        <f>IF(J7=0,0,IF(SUM(J7)&gt;0,MAX(J7),""))</f>
        <v>58</v>
      </c>
      <c r="W7" s="87">
        <f t="shared" si="5"/>
        <v>36</v>
      </c>
      <c r="X7" s="97">
        <f>IF(L7=0,0,IF(SUM(L7)&gt;0,MAX(L7),""))</f>
        <v>68</v>
      </c>
      <c r="Y7" s="87">
        <f t="shared" si="6"/>
        <v>45</v>
      </c>
      <c r="Z7" s="97">
        <f>IF(N7=0,0,IF(SUM(N7)&gt;0,MAX(N7),""))</f>
        <v>244</v>
      </c>
      <c r="AA7" s="87">
        <f t="shared" si="7"/>
        <v>19</v>
      </c>
      <c r="AB7" s="98">
        <f t="shared" si="8"/>
        <v>856</v>
      </c>
      <c r="AC7" s="87">
        <f t="shared" si="9"/>
        <v>32</v>
      </c>
      <c r="AD7" s="725"/>
      <c r="AE7" s="740"/>
      <c r="AF7" s="739"/>
    </row>
    <row r="8" spans="1:32" ht="13.5" customHeight="1">
      <c r="A8" s="71" t="s">
        <v>154</v>
      </c>
      <c r="B8" s="72">
        <v>21</v>
      </c>
      <c r="C8" s="99">
        <f>IF(B8="","",VLOOKUP(B8,Nevezés!$C$2:$G$81,4,FALSE))</f>
        <v>1</v>
      </c>
      <c r="D8" s="100" t="str">
        <f>IF(B8="","",VLOOKUP(B8,Nevezés!$C$2:$G$89,5,FALSE))</f>
        <v>Szemán Péter</v>
      </c>
      <c r="E8" s="101" t="str">
        <f>IF(B8="","",VLOOKUP(B8,Nevezés!$C$2:$G$81,2,FALSE))</f>
        <v>Hajdúnánási HTP</v>
      </c>
      <c r="F8" s="681">
        <v>616</v>
      </c>
      <c r="G8" s="682">
        <v>0</v>
      </c>
      <c r="H8" s="681">
        <v>93</v>
      </c>
      <c r="I8" s="682">
        <v>0</v>
      </c>
      <c r="J8" s="681">
        <v>41</v>
      </c>
      <c r="K8" s="682">
        <v>50</v>
      </c>
      <c r="L8" s="681">
        <v>59</v>
      </c>
      <c r="M8" s="682">
        <v>160</v>
      </c>
      <c r="N8" s="681">
        <v>286</v>
      </c>
      <c r="O8" s="682">
        <v>100</v>
      </c>
      <c r="P8" s="76">
        <f t="shared" si="0"/>
        <v>310</v>
      </c>
      <c r="Q8" s="77"/>
      <c r="R8" s="78">
        <f t="shared" si="1"/>
        <v>616</v>
      </c>
      <c r="S8" s="87">
        <f t="shared" si="2"/>
        <v>7</v>
      </c>
      <c r="T8" s="78">
        <f t="shared" si="3"/>
        <v>93</v>
      </c>
      <c r="U8" s="87">
        <f t="shared" si="4"/>
        <v>6</v>
      </c>
      <c r="V8" s="78">
        <f>IF(J8="",0,J8)</f>
        <v>41</v>
      </c>
      <c r="W8" s="87">
        <f t="shared" si="5"/>
        <v>39</v>
      </c>
      <c r="X8" s="78">
        <f>IF(L8="",0,L8)</f>
        <v>59</v>
      </c>
      <c r="Y8" s="87">
        <f t="shared" si="6"/>
        <v>49</v>
      </c>
      <c r="Z8" s="78">
        <f>IF(N8="",0,N8)</f>
        <v>286</v>
      </c>
      <c r="AA8" s="87">
        <f t="shared" si="7"/>
        <v>14</v>
      </c>
      <c r="AB8" s="80">
        <f t="shared" si="8"/>
        <v>1095</v>
      </c>
      <c r="AC8" s="87">
        <f t="shared" si="9"/>
        <v>12</v>
      </c>
      <c r="AD8" s="731">
        <f>SUM(AB8:AB11)</f>
        <v>4122</v>
      </c>
      <c r="AE8" s="740">
        <f>IF(AD8="","",RANK(AD8,$AD$4:$AD$91))</f>
        <v>3</v>
      </c>
      <c r="AF8" s="738">
        <f>P8+P9+P10+P11</f>
        <v>970</v>
      </c>
    </row>
    <row r="9" spans="1:32" ht="13.5" customHeight="1">
      <c r="A9" s="81" t="s">
        <v>154</v>
      </c>
      <c r="B9" s="82">
        <v>22</v>
      </c>
      <c r="C9" s="102">
        <f>IF(B9="","",VLOOKUP(B9,Nevezés!$C$2:$G$81,4,FALSE))</f>
        <v>2</v>
      </c>
      <c r="D9" s="103" t="str">
        <f>IF(B9="","",VLOOKUP(B9,Nevezés!$C$2:$G$89,5,FALSE))</f>
        <v>Csuja Gábor</v>
      </c>
      <c r="E9" s="104" t="str">
        <f>IF(B9="","",VLOOKUP(B9,Nevezés!$C$2:$G$81,2,FALSE))</f>
        <v>Hajdúnánási HTP</v>
      </c>
      <c r="F9" s="681">
        <v>578</v>
      </c>
      <c r="G9" s="682">
        <v>0</v>
      </c>
      <c r="H9" s="681">
        <v>0</v>
      </c>
      <c r="I9" s="682">
        <v>20</v>
      </c>
      <c r="J9" s="681">
        <v>145</v>
      </c>
      <c r="K9" s="682">
        <v>0</v>
      </c>
      <c r="L9" s="681">
        <v>121</v>
      </c>
      <c r="M9" s="682">
        <v>0</v>
      </c>
      <c r="N9" s="681">
        <v>300</v>
      </c>
      <c r="O9" s="682">
        <v>40</v>
      </c>
      <c r="P9" s="76">
        <f t="shared" si="0"/>
        <v>60</v>
      </c>
      <c r="Q9" s="77"/>
      <c r="R9" s="86">
        <f t="shared" si="1"/>
        <v>578</v>
      </c>
      <c r="S9" s="87">
        <f t="shared" si="2"/>
        <v>16</v>
      </c>
      <c r="T9" s="86">
        <f t="shared" si="3"/>
        <v>0</v>
      </c>
      <c r="U9" s="87">
        <f t="shared" si="4"/>
        <v>45</v>
      </c>
      <c r="V9" s="86">
        <f aca="true" t="shared" si="10" ref="V9:V40">IF(J9=0,0,IF(SUM(J9)&gt;0,MAX(J9),""))</f>
        <v>145</v>
      </c>
      <c r="W9" s="87">
        <f t="shared" si="5"/>
        <v>9</v>
      </c>
      <c r="X9" s="86">
        <f aca="true" t="shared" si="11" ref="X9:X40">IF(L9=0,0,IF(SUM(L9)&gt;0,MAX(L9),""))</f>
        <v>121</v>
      </c>
      <c r="Y9" s="87">
        <f t="shared" si="6"/>
        <v>22</v>
      </c>
      <c r="Z9" s="86">
        <f aca="true" t="shared" si="12" ref="Z9:Z40">IF(N9=0,0,IF(SUM(N9)&gt;0,MAX(N9),""))</f>
        <v>300</v>
      </c>
      <c r="AA9" s="87">
        <f t="shared" si="7"/>
        <v>10</v>
      </c>
      <c r="AB9" s="88">
        <f t="shared" si="8"/>
        <v>1144</v>
      </c>
      <c r="AC9" s="87">
        <f t="shared" si="9"/>
        <v>11</v>
      </c>
      <c r="AD9" s="732"/>
      <c r="AE9" s="723"/>
      <c r="AF9" s="739"/>
    </row>
    <row r="10" spans="1:32" ht="13.5" customHeight="1">
      <c r="A10" s="89" t="s">
        <v>154</v>
      </c>
      <c r="B10" s="90">
        <v>23</v>
      </c>
      <c r="C10" s="105">
        <f>IF(B10="","",VLOOKUP(B10,Nevezés!$C$2:$G$81,4,FALSE))</f>
        <v>3</v>
      </c>
      <c r="D10" s="103" t="str">
        <f>IF(B10="","",VLOOKUP(B10,Nevezés!$C$2:$G$89,5,FALSE))</f>
        <v>Nagy Sándor</v>
      </c>
      <c r="E10" s="106" t="str">
        <f>IF(B10="","",VLOOKUP(B10,Nevezés!$C$2:$G$81,2,FALSE))</f>
        <v>Hajdúnánási HTP</v>
      </c>
      <c r="F10" s="681">
        <v>618</v>
      </c>
      <c r="G10" s="682">
        <v>0</v>
      </c>
      <c r="H10" s="681">
        <v>0</v>
      </c>
      <c r="I10" s="682">
        <v>50</v>
      </c>
      <c r="J10" s="681">
        <v>174</v>
      </c>
      <c r="K10" s="682">
        <v>0</v>
      </c>
      <c r="L10" s="681">
        <v>55</v>
      </c>
      <c r="M10" s="682">
        <v>160</v>
      </c>
      <c r="N10" s="681">
        <v>192</v>
      </c>
      <c r="O10" s="682">
        <v>80</v>
      </c>
      <c r="P10" s="76">
        <f t="shared" si="0"/>
        <v>290</v>
      </c>
      <c r="Q10" s="77"/>
      <c r="R10" s="86">
        <f t="shared" si="1"/>
        <v>618</v>
      </c>
      <c r="S10" s="87">
        <f t="shared" si="2"/>
        <v>6</v>
      </c>
      <c r="T10" s="86">
        <f t="shared" si="3"/>
        <v>0</v>
      </c>
      <c r="U10" s="87">
        <f t="shared" si="4"/>
        <v>45</v>
      </c>
      <c r="V10" s="86">
        <f t="shared" si="10"/>
        <v>174</v>
      </c>
      <c r="W10" s="87">
        <f t="shared" si="5"/>
        <v>3</v>
      </c>
      <c r="X10" s="86">
        <f t="shared" si="11"/>
        <v>55</v>
      </c>
      <c r="Y10" s="87">
        <f t="shared" si="6"/>
        <v>51</v>
      </c>
      <c r="Z10" s="86">
        <f t="shared" si="12"/>
        <v>192</v>
      </c>
      <c r="AA10" s="87">
        <f t="shared" si="7"/>
        <v>28</v>
      </c>
      <c r="AB10" s="88">
        <f t="shared" si="8"/>
        <v>1039</v>
      </c>
      <c r="AC10" s="87">
        <f t="shared" si="9"/>
        <v>17</v>
      </c>
      <c r="AD10" s="732"/>
      <c r="AE10" s="724"/>
      <c r="AF10" s="739"/>
    </row>
    <row r="11" spans="1:32" ht="13.5" customHeight="1">
      <c r="A11" s="93" t="s">
        <v>154</v>
      </c>
      <c r="B11" s="94">
        <v>24</v>
      </c>
      <c r="C11" s="107">
        <f>IF(B11="","",VLOOKUP(B11,Nevezés!$C$2:$G$81,4,FALSE))</f>
        <v>4</v>
      </c>
      <c r="D11" s="103" t="str">
        <f>IF(B11="","",VLOOKUP(B11,Nevezés!$C$2:$G$89,5,FALSE))</f>
        <v>Dósa Tamás </v>
      </c>
      <c r="E11" s="108" t="str">
        <f>IF(B11="","",VLOOKUP(B11,Nevezés!$C$2:$G$81,2,FALSE))</f>
        <v>Hajdúnánási HTP</v>
      </c>
      <c r="F11" s="681">
        <v>516</v>
      </c>
      <c r="G11" s="682">
        <v>30</v>
      </c>
      <c r="H11" s="681">
        <v>0</v>
      </c>
      <c r="I11" s="682">
        <v>0</v>
      </c>
      <c r="J11" s="681">
        <v>103</v>
      </c>
      <c r="K11" s="682">
        <v>0</v>
      </c>
      <c r="L11" s="681">
        <v>93</v>
      </c>
      <c r="M11" s="682">
        <v>100</v>
      </c>
      <c r="N11" s="681">
        <v>132</v>
      </c>
      <c r="O11" s="682">
        <v>180</v>
      </c>
      <c r="P11" s="76">
        <f t="shared" si="0"/>
        <v>310</v>
      </c>
      <c r="Q11" s="77"/>
      <c r="R11" s="97">
        <f t="shared" si="1"/>
        <v>516</v>
      </c>
      <c r="S11" s="87">
        <f t="shared" si="2"/>
        <v>24</v>
      </c>
      <c r="T11" s="97">
        <f t="shared" si="3"/>
        <v>0</v>
      </c>
      <c r="U11" s="87">
        <f t="shared" si="4"/>
        <v>45</v>
      </c>
      <c r="V11" s="97">
        <f t="shared" si="10"/>
        <v>103</v>
      </c>
      <c r="W11" s="87">
        <f t="shared" si="5"/>
        <v>20</v>
      </c>
      <c r="X11" s="97">
        <f t="shared" si="11"/>
        <v>93</v>
      </c>
      <c r="Y11" s="87">
        <f t="shared" si="6"/>
        <v>31</v>
      </c>
      <c r="Z11" s="97">
        <f t="shared" si="12"/>
        <v>132</v>
      </c>
      <c r="AA11" s="87">
        <f t="shared" si="7"/>
        <v>40</v>
      </c>
      <c r="AB11" s="98">
        <f t="shared" si="8"/>
        <v>844</v>
      </c>
      <c r="AC11" s="87">
        <f t="shared" si="9"/>
        <v>33</v>
      </c>
      <c r="AD11" s="733"/>
      <c r="AE11" s="725"/>
      <c r="AF11" s="739"/>
    </row>
    <row r="12" spans="1:32" ht="13.5" customHeight="1">
      <c r="A12" s="71" t="s">
        <v>155</v>
      </c>
      <c r="B12" s="72">
        <v>31</v>
      </c>
      <c r="C12" s="99">
        <f>IF(B12="","",VLOOKUP(B12,Nevezés!$C$2:$G$81,4,FALSE))</f>
        <v>1</v>
      </c>
      <c r="D12" s="100" t="str">
        <f>IF(B12="","",VLOOKUP(B12,Nevezés!$C$2:$G$89,5,FALSE))</f>
        <v>Rotter László</v>
      </c>
      <c r="E12" s="101" t="str">
        <f>IF(B12="","",VLOOKUP(B12,Nevezés!$C$2:$G$81,2,FALSE))</f>
        <v>Pétfürdő HTP</v>
      </c>
      <c r="F12" s="679">
        <v>437</v>
      </c>
      <c r="G12" s="680">
        <v>20</v>
      </c>
      <c r="H12" s="679">
        <v>21</v>
      </c>
      <c r="I12" s="680">
        <v>0</v>
      </c>
      <c r="J12" s="679">
        <v>0</v>
      </c>
      <c r="K12" s="680">
        <v>100</v>
      </c>
      <c r="L12" s="679">
        <v>88</v>
      </c>
      <c r="M12" s="680">
        <v>50</v>
      </c>
      <c r="N12" s="679">
        <v>0</v>
      </c>
      <c r="O12" s="680">
        <v>240</v>
      </c>
      <c r="P12" s="76">
        <f t="shared" si="0"/>
        <v>410</v>
      </c>
      <c r="Q12" s="77"/>
      <c r="R12" s="78">
        <f t="shared" si="1"/>
        <v>437</v>
      </c>
      <c r="S12" s="87">
        <f t="shared" si="2"/>
        <v>46</v>
      </c>
      <c r="T12" s="78">
        <f t="shared" si="3"/>
        <v>21</v>
      </c>
      <c r="U12" s="87">
        <f t="shared" si="4"/>
        <v>38</v>
      </c>
      <c r="V12" s="78">
        <f t="shared" si="10"/>
        <v>0</v>
      </c>
      <c r="W12" s="87">
        <f t="shared" si="5"/>
        <v>46</v>
      </c>
      <c r="X12" s="78">
        <f t="shared" si="11"/>
        <v>88</v>
      </c>
      <c r="Y12" s="87">
        <f t="shared" si="6"/>
        <v>33</v>
      </c>
      <c r="Z12" s="78">
        <f t="shared" si="12"/>
        <v>0</v>
      </c>
      <c r="AA12" s="87">
        <f t="shared" si="7"/>
        <v>56</v>
      </c>
      <c r="AB12" s="80">
        <f t="shared" si="8"/>
        <v>546</v>
      </c>
      <c r="AC12" s="87">
        <f t="shared" si="9"/>
        <v>54</v>
      </c>
      <c r="AD12" s="726">
        <f>SUM(AB12:AB15)</f>
        <v>2801</v>
      </c>
      <c r="AE12" s="740">
        <f>IF(AD12="","",RANK(AD12,$AD$4:$AD$91))</f>
        <v>12</v>
      </c>
      <c r="AF12" s="738">
        <f>P12+P13+P14+P15</f>
        <v>940</v>
      </c>
    </row>
    <row r="13" spans="1:32" ht="13.5" customHeight="1">
      <c r="A13" s="81" t="s">
        <v>155</v>
      </c>
      <c r="B13" s="82">
        <v>32</v>
      </c>
      <c r="C13" s="102">
        <f>IF(B13="","",VLOOKUP(B13,Nevezés!$C$2:$G$81,4,FALSE))</f>
        <v>2</v>
      </c>
      <c r="D13" s="103" t="str">
        <f>IF(B13="","",VLOOKUP(B13,Nevezés!$C$2:$G$89,5,FALSE))</f>
        <v>Sántha András</v>
      </c>
      <c r="E13" s="104" t="str">
        <f>IF(B13="","",VLOOKUP(B13,Nevezés!$C$2:$G$81,2,FALSE))</f>
        <v>Pétfürdő HTP</v>
      </c>
      <c r="F13" s="679">
        <v>490</v>
      </c>
      <c r="G13" s="680">
        <v>0</v>
      </c>
      <c r="H13" s="679">
        <v>0</v>
      </c>
      <c r="I13" s="680">
        <v>0</v>
      </c>
      <c r="J13" s="679">
        <v>4</v>
      </c>
      <c r="K13" s="680">
        <v>50</v>
      </c>
      <c r="L13" s="679">
        <v>73</v>
      </c>
      <c r="M13" s="680">
        <v>80</v>
      </c>
      <c r="N13" s="679">
        <v>140</v>
      </c>
      <c r="O13" s="680">
        <v>60</v>
      </c>
      <c r="P13" s="76">
        <f t="shared" si="0"/>
        <v>190</v>
      </c>
      <c r="Q13" s="77"/>
      <c r="R13" s="86">
        <f t="shared" si="1"/>
        <v>490</v>
      </c>
      <c r="S13" s="87">
        <f t="shared" si="2"/>
        <v>31</v>
      </c>
      <c r="T13" s="86">
        <f t="shared" si="3"/>
        <v>0</v>
      </c>
      <c r="U13" s="87">
        <f t="shared" si="4"/>
        <v>45</v>
      </c>
      <c r="V13" s="86">
        <f t="shared" si="10"/>
        <v>4</v>
      </c>
      <c r="W13" s="87">
        <f t="shared" si="5"/>
        <v>44</v>
      </c>
      <c r="X13" s="86">
        <f t="shared" si="11"/>
        <v>73</v>
      </c>
      <c r="Y13" s="87">
        <f t="shared" si="6"/>
        <v>43</v>
      </c>
      <c r="Z13" s="86">
        <f t="shared" si="12"/>
        <v>140</v>
      </c>
      <c r="AA13" s="87">
        <f t="shared" si="7"/>
        <v>36</v>
      </c>
      <c r="AB13" s="88">
        <f t="shared" si="8"/>
        <v>707</v>
      </c>
      <c r="AC13" s="87">
        <f t="shared" si="9"/>
        <v>47</v>
      </c>
      <c r="AD13" s="727"/>
      <c r="AE13" s="741"/>
      <c r="AF13" s="739"/>
    </row>
    <row r="14" spans="1:32" ht="13.5" customHeight="1">
      <c r="A14" s="89" t="s">
        <v>155</v>
      </c>
      <c r="B14" s="90">
        <v>33</v>
      </c>
      <c r="C14" s="105">
        <f>IF(B14="","",VLOOKUP(B14,Nevezés!$C$2:$G$81,4,FALSE))</f>
        <v>3</v>
      </c>
      <c r="D14" s="103" t="str">
        <f>IF(B14="","",VLOOKUP(B14,Nevezés!$C$2:$G$89,5,FALSE))</f>
        <v>Koszteczky Henrik </v>
      </c>
      <c r="E14" s="106" t="str">
        <f>IF(B14="","",VLOOKUP(B14,Nevezés!$C$2:$G$81,2,FALSE))</f>
        <v>Pétfürdő HTP</v>
      </c>
      <c r="F14" s="679">
        <v>409</v>
      </c>
      <c r="G14" s="680">
        <v>20</v>
      </c>
      <c r="H14" s="679">
        <v>1</v>
      </c>
      <c r="I14" s="680">
        <v>0</v>
      </c>
      <c r="J14" s="679">
        <v>103</v>
      </c>
      <c r="K14" s="680">
        <v>0</v>
      </c>
      <c r="L14" s="679">
        <v>73</v>
      </c>
      <c r="M14" s="680">
        <v>80</v>
      </c>
      <c r="N14" s="679">
        <v>180</v>
      </c>
      <c r="O14" s="680">
        <v>20</v>
      </c>
      <c r="P14" s="76">
        <f t="shared" si="0"/>
        <v>120</v>
      </c>
      <c r="Q14" s="77"/>
      <c r="R14" s="86">
        <f t="shared" si="1"/>
        <v>409</v>
      </c>
      <c r="S14" s="87">
        <f t="shared" si="2"/>
        <v>52</v>
      </c>
      <c r="T14" s="86">
        <f t="shared" si="3"/>
        <v>1</v>
      </c>
      <c r="U14" s="87">
        <f t="shared" si="4"/>
        <v>44</v>
      </c>
      <c r="V14" s="86">
        <f t="shared" si="10"/>
        <v>103</v>
      </c>
      <c r="W14" s="87">
        <f t="shared" si="5"/>
        <v>20</v>
      </c>
      <c r="X14" s="86">
        <f t="shared" si="11"/>
        <v>73</v>
      </c>
      <c r="Y14" s="87">
        <f t="shared" si="6"/>
        <v>43</v>
      </c>
      <c r="Z14" s="86">
        <f t="shared" si="12"/>
        <v>180</v>
      </c>
      <c r="AA14" s="87">
        <f t="shared" si="7"/>
        <v>32</v>
      </c>
      <c r="AB14" s="88">
        <f t="shared" si="8"/>
        <v>766</v>
      </c>
      <c r="AC14" s="87">
        <f t="shared" si="9"/>
        <v>41</v>
      </c>
      <c r="AD14" s="728"/>
      <c r="AE14" s="729"/>
      <c r="AF14" s="739"/>
    </row>
    <row r="15" spans="1:32" ht="13.5" customHeight="1">
      <c r="A15" s="93" t="s">
        <v>155</v>
      </c>
      <c r="B15" s="94">
        <v>34</v>
      </c>
      <c r="C15" s="107">
        <f>IF(B15="","",VLOOKUP(B15,Nevezés!$C$2:$G$81,4,FALSE))</f>
        <v>4</v>
      </c>
      <c r="D15" s="103" t="str">
        <f>IF(B15="","",VLOOKUP(B15,Nevezés!$C$2:$G$89,5,FALSE))</f>
        <v>Somogyi Attila</v>
      </c>
      <c r="E15" s="108" t="str">
        <f>IF(B15="","",VLOOKUP(B15,Nevezés!$C$2:$G$81,2,FALSE))</f>
        <v>Pétfürdő HTP</v>
      </c>
      <c r="F15" s="679">
        <v>475</v>
      </c>
      <c r="G15" s="680">
        <v>0</v>
      </c>
      <c r="H15" s="679">
        <v>0</v>
      </c>
      <c r="I15" s="680">
        <v>0</v>
      </c>
      <c r="J15" s="679">
        <v>93</v>
      </c>
      <c r="K15" s="680">
        <v>0</v>
      </c>
      <c r="L15" s="679">
        <v>74</v>
      </c>
      <c r="M15" s="680">
        <v>160</v>
      </c>
      <c r="N15" s="679">
        <v>140</v>
      </c>
      <c r="O15" s="680">
        <v>60</v>
      </c>
      <c r="P15" s="76">
        <f t="shared" si="0"/>
        <v>220</v>
      </c>
      <c r="Q15" s="77"/>
      <c r="R15" s="97">
        <f t="shared" si="1"/>
        <v>475</v>
      </c>
      <c r="S15" s="87">
        <f t="shared" si="2"/>
        <v>35</v>
      </c>
      <c r="T15" s="97">
        <f t="shared" si="3"/>
        <v>0</v>
      </c>
      <c r="U15" s="87">
        <f t="shared" si="4"/>
        <v>45</v>
      </c>
      <c r="V15" s="97">
        <f t="shared" si="10"/>
        <v>93</v>
      </c>
      <c r="W15" s="87">
        <f t="shared" si="5"/>
        <v>26</v>
      </c>
      <c r="X15" s="97">
        <f t="shared" si="11"/>
        <v>74</v>
      </c>
      <c r="Y15" s="87">
        <f t="shared" si="6"/>
        <v>41</v>
      </c>
      <c r="Z15" s="97">
        <f t="shared" si="12"/>
        <v>140</v>
      </c>
      <c r="AA15" s="87">
        <f t="shared" si="7"/>
        <v>36</v>
      </c>
      <c r="AB15" s="98">
        <f t="shared" si="8"/>
        <v>782</v>
      </c>
      <c r="AC15" s="87">
        <f t="shared" si="9"/>
        <v>39</v>
      </c>
      <c r="AD15" s="719"/>
      <c r="AE15" s="730"/>
      <c r="AF15" s="739"/>
    </row>
    <row r="16" spans="1:32" ht="13.5" customHeight="1">
      <c r="A16" s="71" t="s">
        <v>156</v>
      </c>
      <c r="B16" s="72">
        <v>41</v>
      </c>
      <c r="C16" s="99">
        <f>IF(B16="","",VLOOKUP(B16,Nevezés!$C$2:$G$81,4,FALSE))</f>
        <v>1</v>
      </c>
      <c r="D16" s="100" t="str">
        <f>IF(B16="","",VLOOKUP(B16,Nevezés!$C$2:$G$89,5,FALSE))</f>
        <v>Horváth Imre </v>
      </c>
      <c r="E16" s="101" t="str">
        <f>IF(B16="","",VLOOKUP(B16,Nevezés!$C$2:$G$81,2,FALSE))</f>
        <v>Barcs HTP</v>
      </c>
      <c r="F16" s="679">
        <v>470</v>
      </c>
      <c r="G16" s="680">
        <v>0</v>
      </c>
      <c r="H16" s="679">
        <v>37</v>
      </c>
      <c r="I16" s="680">
        <v>0</v>
      </c>
      <c r="J16" s="679">
        <v>0</v>
      </c>
      <c r="K16" s="680">
        <v>200</v>
      </c>
      <c r="L16" s="679">
        <v>145</v>
      </c>
      <c r="M16" s="680">
        <v>0</v>
      </c>
      <c r="N16" s="679">
        <v>140</v>
      </c>
      <c r="O16" s="680">
        <v>60</v>
      </c>
      <c r="P16" s="76">
        <f t="shared" si="0"/>
        <v>260</v>
      </c>
      <c r="Q16" s="77"/>
      <c r="R16" s="78">
        <f t="shared" si="1"/>
        <v>470</v>
      </c>
      <c r="S16" s="87">
        <f t="shared" si="2"/>
        <v>38</v>
      </c>
      <c r="T16" s="78">
        <f t="shared" si="3"/>
        <v>37</v>
      </c>
      <c r="U16" s="87">
        <f t="shared" si="4"/>
        <v>34</v>
      </c>
      <c r="V16" s="78">
        <f t="shared" si="10"/>
        <v>0</v>
      </c>
      <c r="W16" s="87">
        <f t="shared" si="5"/>
        <v>46</v>
      </c>
      <c r="X16" s="78">
        <f t="shared" si="11"/>
        <v>145</v>
      </c>
      <c r="Y16" s="87">
        <f t="shared" si="6"/>
        <v>12</v>
      </c>
      <c r="Z16" s="78">
        <f t="shared" si="12"/>
        <v>140</v>
      </c>
      <c r="AA16" s="87">
        <f t="shared" si="7"/>
        <v>36</v>
      </c>
      <c r="AB16" s="80">
        <f t="shared" si="8"/>
        <v>792</v>
      </c>
      <c r="AC16" s="87">
        <f t="shared" si="9"/>
        <v>37</v>
      </c>
      <c r="AD16" s="731">
        <f>SUM(AB16:AB19)</f>
        <v>3399</v>
      </c>
      <c r="AE16" s="740">
        <f>IF(AD16="","",RANK(AD16,$AD$4:$AD$91))</f>
        <v>9</v>
      </c>
      <c r="AF16" s="738">
        <f>P16+P17+P18+P19</f>
        <v>1100</v>
      </c>
    </row>
    <row r="17" spans="1:32" ht="13.5" customHeight="1">
      <c r="A17" s="81" t="s">
        <v>156</v>
      </c>
      <c r="B17" s="82">
        <v>42</v>
      </c>
      <c r="C17" s="102">
        <f>IF(B17="","",VLOOKUP(B17,Nevezés!$C$2:$G$81,4,FALSE))</f>
        <v>2</v>
      </c>
      <c r="D17" s="103" t="str">
        <f>IF(B17="","",VLOOKUP(B17,Nevezés!$C$2:$G$89,5,FALSE))</f>
        <v>Werkman Norbert</v>
      </c>
      <c r="E17" s="104" t="str">
        <f>IF(B17="","",VLOOKUP(B17,Nevezés!$C$2:$G$81,2,FALSE))</f>
        <v>Barcs HTP</v>
      </c>
      <c r="F17" s="679">
        <v>497</v>
      </c>
      <c r="G17" s="680">
        <v>0</v>
      </c>
      <c r="H17" s="679">
        <v>92</v>
      </c>
      <c r="I17" s="680">
        <v>0</v>
      </c>
      <c r="J17" s="679">
        <v>45</v>
      </c>
      <c r="K17" s="680">
        <v>50</v>
      </c>
      <c r="L17" s="679">
        <v>0</v>
      </c>
      <c r="M17" s="680">
        <v>130</v>
      </c>
      <c r="N17" s="679">
        <v>208</v>
      </c>
      <c r="O17" s="680">
        <v>0</v>
      </c>
      <c r="P17" s="76">
        <f t="shared" si="0"/>
        <v>180</v>
      </c>
      <c r="Q17" s="77"/>
      <c r="R17" s="86">
        <f t="shared" si="1"/>
        <v>497</v>
      </c>
      <c r="S17" s="87">
        <f t="shared" si="2"/>
        <v>29</v>
      </c>
      <c r="T17" s="86">
        <f t="shared" si="3"/>
        <v>92</v>
      </c>
      <c r="U17" s="87">
        <f t="shared" si="4"/>
        <v>7</v>
      </c>
      <c r="V17" s="86">
        <f t="shared" si="10"/>
        <v>45</v>
      </c>
      <c r="W17" s="87">
        <f t="shared" si="5"/>
        <v>37</v>
      </c>
      <c r="X17" s="86">
        <f t="shared" si="11"/>
        <v>0</v>
      </c>
      <c r="Y17" s="87">
        <f t="shared" si="6"/>
        <v>58</v>
      </c>
      <c r="Z17" s="86">
        <f t="shared" si="12"/>
        <v>208</v>
      </c>
      <c r="AA17" s="87">
        <f t="shared" si="7"/>
        <v>23</v>
      </c>
      <c r="AB17" s="88">
        <f t="shared" si="8"/>
        <v>842</v>
      </c>
      <c r="AC17" s="87">
        <f t="shared" si="9"/>
        <v>34</v>
      </c>
      <c r="AD17" s="732"/>
      <c r="AE17" s="723"/>
      <c r="AF17" s="739"/>
    </row>
    <row r="18" spans="1:32" ht="13.5" customHeight="1">
      <c r="A18" s="89" t="s">
        <v>156</v>
      </c>
      <c r="B18" s="90">
        <v>43</v>
      </c>
      <c r="C18" s="105">
        <f>IF(B18="","",VLOOKUP(B18,Nevezés!$C$2:$G$81,4,FALSE))</f>
        <v>3</v>
      </c>
      <c r="D18" s="103" t="str">
        <f>IF(B18="","",VLOOKUP(B18,Nevezés!$C$2:$G$89,5,FALSE))</f>
        <v>Vidák Balázs</v>
      </c>
      <c r="E18" s="106" t="str">
        <f>IF(B18="","",VLOOKUP(B18,Nevezés!$C$2:$G$81,2,FALSE))</f>
        <v>Barcs HTP</v>
      </c>
      <c r="F18" s="679">
        <v>544</v>
      </c>
      <c r="G18" s="680">
        <v>0</v>
      </c>
      <c r="H18" s="679">
        <v>99</v>
      </c>
      <c r="I18" s="680">
        <v>0</v>
      </c>
      <c r="J18" s="679">
        <v>0</v>
      </c>
      <c r="K18" s="680">
        <v>140</v>
      </c>
      <c r="L18" s="679">
        <v>27</v>
      </c>
      <c r="M18" s="680">
        <v>150</v>
      </c>
      <c r="N18" s="679">
        <v>100</v>
      </c>
      <c r="O18" s="680">
        <v>100</v>
      </c>
      <c r="P18" s="76">
        <f t="shared" si="0"/>
        <v>390</v>
      </c>
      <c r="Q18" s="77"/>
      <c r="R18" s="86">
        <f t="shared" si="1"/>
        <v>544</v>
      </c>
      <c r="S18" s="87">
        <f t="shared" si="2"/>
        <v>21</v>
      </c>
      <c r="T18" s="86">
        <f t="shared" si="3"/>
        <v>99</v>
      </c>
      <c r="U18" s="87">
        <f t="shared" si="4"/>
        <v>4</v>
      </c>
      <c r="V18" s="86">
        <f t="shared" si="10"/>
        <v>0</v>
      </c>
      <c r="W18" s="87">
        <f t="shared" si="5"/>
        <v>46</v>
      </c>
      <c r="X18" s="86">
        <f t="shared" si="11"/>
        <v>27</v>
      </c>
      <c r="Y18" s="87">
        <f t="shared" si="6"/>
        <v>56</v>
      </c>
      <c r="Z18" s="86">
        <f t="shared" si="12"/>
        <v>100</v>
      </c>
      <c r="AA18" s="87">
        <f t="shared" si="7"/>
        <v>48</v>
      </c>
      <c r="AB18" s="88">
        <f t="shared" si="8"/>
        <v>770</v>
      </c>
      <c r="AC18" s="87">
        <f t="shared" si="9"/>
        <v>40</v>
      </c>
      <c r="AD18" s="732"/>
      <c r="AE18" s="724"/>
      <c r="AF18" s="739"/>
    </row>
    <row r="19" spans="1:32" ht="13.5" customHeight="1">
      <c r="A19" s="93" t="s">
        <v>156</v>
      </c>
      <c r="B19" s="94">
        <v>44</v>
      </c>
      <c r="C19" s="107">
        <f>IF(B19="","",VLOOKUP(B19,Nevezés!$C$2:$G$81,4,FALSE))</f>
        <v>4</v>
      </c>
      <c r="D19" s="103" t="str">
        <f>IF(B19="","",VLOOKUP(B19,Nevezés!$C$2:$G$89,5,FALSE))</f>
        <v>Káló Norbert</v>
      </c>
      <c r="E19" s="108" t="str">
        <f>IF(B19="","",VLOOKUP(B19,Nevezés!$C$2:$G$81,2,FALSE))</f>
        <v>Barcs HTP</v>
      </c>
      <c r="F19" s="679">
        <v>607</v>
      </c>
      <c r="G19" s="680">
        <v>0</v>
      </c>
      <c r="H19" s="679">
        <v>65</v>
      </c>
      <c r="I19" s="680">
        <v>20</v>
      </c>
      <c r="J19" s="679">
        <v>36</v>
      </c>
      <c r="K19" s="680">
        <v>50</v>
      </c>
      <c r="L19" s="679">
        <v>91</v>
      </c>
      <c r="M19" s="680">
        <v>80</v>
      </c>
      <c r="N19" s="679">
        <v>196</v>
      </c>
      <c r="O19" s="680">
        <v>120</v>
      </c>
      <c r="P19" s="76">
        <f t="shared" si="0"/>
        <v>270</v>
      </c>
      <c r="Q19" s="77"/>
      <c r="R19" s="97">
        <f t="shared" si="1"/>
        <v>607</v>
      </c>
      <c r="S19" s="87">
        <f t="shared" si="2"/>
        <v>11</v>
      </c>
      <c r="T19" s="97">
        <f t="shared" si="3"/>
        <v>65</v>
      </c>
      <c r="U19" s="87">
        <f t="shared" si="4"/>
        <v>21</v>
      </c>
      <c r="V19" s="97">
        <f t="shared" si="10"/>
        <v>36</v>
      </c>
      <c r="W19" s="87">
        <f t="shared" si="5"/>
        <v>40</v>
      </c>
      <c r="X19" s="97">
        <f t="shared" si="11"/>
        <v>91</v>
      </c>
      <c r="Y19" s="87">
        <f t="shared" si="6"/>
        <v>32</v>
      </c>
      <c r="Z19" s="97">
        <f t="shared" si="12"/>
        <v>196</v>
      </c>
      <c r="AA19" s="87">
        <f t="shared" si="7"/>
        <v>25</v>
      </c>
      <c r="AB19" s="98">
        <f t="shared" si="8"/>
        <v>995</v>
      </c>
      <c r="AC19" s="87">
        <f t="shared" si="9"/>
        <v>19</v>
      </c>
      <c r="AD19" s="733"/>
      <c r="AE19" s="725"/>
      <c r="AF19" s="739"/>
    </row>
    <row r="20" spans="1:32" ht="13.5" customHeight="1">
      <c r="A20" s="71" t="s">
        <v>157</v>
      </c>
      <c r="B20" s="72">
        <v>51</v>
      </c>
      <c r="C20" s="73">
        <f>IF(B20="","",VLOOKUP(B20,Nevezés!$C$2:$G$81,4,FALSE))</f>
        <v>1</v>
      </c>
      <c r="D20" s="74" t="str">
        <f>IF(B20="","",VLOOKUP(B20,Nevezés!$C$2:$G$89,5,FALSE))</f>
        <v>Frunza Octavian</v>
      </c>
      <c r="E20" s="75" t="str">
        <f>IF(B20="","",VLOOKUP(B20,Nevezés!$C$2:$G$81,2,FALSE))</f>
        <v>Veszprém HTP</v>
      </c>
      <c r="F20" s="679">
        <v>452</v>
      </c>
      <c r="G20" s="680">
        <v>0</v>
      </c>
      <c r="H20" s="679">
        <v>0</v>
      </c>
      <c r="I20" s="680">
        <v>0</v>
      </c>
      <c r="J20" s="679">
        <v>119</v>
      </c>
      <c r="K20" s="680">
        <v>0</v>
      </c>
      <c r="L20" s="679">
        <v>87</v>
      </c>
      <c r="M20" s="680">
        <v>50</v>
      </c>
      <c r="N20" s="679">
        <v>0</v>
      </c>
      <c r="O20" s="680">
        <v>260</v>
      </c>
      <c r="P20" s="76">
        <f t="shared" si="0"/>
        <v>310</v>
      </c>
      <c r="Q20" s="77"/>
      <c r="R20" s="78">
        <f t="shared" si="1"/>
        <v>452</v>
      </c>
      <c r="S20" s="87">
        <f t="shared" si="2"/>
        <v>45</v>
      </c>
      <c r="T20" s="78">
        <f t="shared" si="3"/>
        <v>0</v>
      </c>
      <c r="U20" s="87">
        <f t="shared" si="4"/>
        <v>45</v>
      </c>
      <c r="V20" s="78">
        <f t="shared" si="10"/>
        <v>119</v>
      </c>
      <c r="W20" s="87">
        <f t="shared" si="5"/>
        <v>15</v>
      </c>
      <c r="X20" s="78">
        <f t="shared" si="11"/>
        <v>87</v>
      </c>
      <c r="Y20" s="87">
        <f t="shared" si="6"/>
        <v>34</v>
      </c>
      <c r="Z20" s="78">
        <f t="shared" si="12"/>
        <v>0</v>
      </c>
      <c r="AA20" s="87">
        <f t="shared" si="7"/>
        <v>56</v>
      </c>
      <c r="AB20" s="80">
        <f t="shared" si="8"/>
        <v>658</v>
      </c>
      <c r="AC20" s="87">
        <f t="shared" si="9"/>
        <v>49</v>
      </c>
      <c r="AD20" s="726">
        <f>SUM(AB20:AB23)</f>
        <v>3118</v>
      </c>
      <c r="AE20" s="740">
        <f>IF(AD20="","",RANK(AD20,$AD$4:$AD$91))</f>
        <v>10</v>
      </c>
      <c r="AF20" s="738">
        <f>P20+P21+P22+P23</f>
        <v>590</v>
      </c>
    </row>
    <row r="21" spans="1:32" ht="13.5" customHeight="1">
      <c r="A21" s="81" t="s">
        <v>157</v>
      </c>
      <c r="B21" s="82">
        <v>52</v>
      </c>
      <c r="C21" s="83">
        <f>IF(B21="","",VLOOKUP(B21,Nevezés!$C$2:$G$81,4,FALSE))</f>
        <v>2</v>
      </c>
      <c r="D21" s="84" t="str">
        <f>IF(B21="","",VLOOKUP(B21,Nevezés!$C$2:$G$89,5,FALSE))</f>
        <v>Molnár Márk </v>
      </c>
      <c r="E21" s="85" t="str">
        <f>IF(B21="","",VLOOKUP(B21,Nevezés!$C$2:$G$81,2,FALSE))</f>
        <v>Veszprém HTP</v>
      </c>
      <c r="F21" s="679">
        <v>645</v>
      </c>
      <c r="G21" s="680">
        <v>0</v>
      </c>
      <c r="H21" s="679">
        <v>102</v>
      </c>
      <c r="I21" s="680">
        <v>0</v>
      </c>
      <c r="J21" s="679">
        <v>186</v>
      </c>
      <c r="K21" s="680">
        <v>0</v>
      </c>
      <c r="L21" s="679">
        <v>184</v>
      </c>
      <c r="M21" s="680">
        <v>0</v>
      </c>
      <c r="N21" s="679">
        <v>352</v>
      </c>
      <c r="O21" s="680">
        <v>20</v>
      </c>
      <c r="P21" s="76">
        <f t="shared" si="0"/>
        <v>20</v>
      </c>
      <c r="Q21" s="77"/>
      <c r="R21" s="86">
        <f t="shared" si="1"/>
        <v>645</v>
      </c>
      <c r="S21" s="87">
        <f t="shared" si="2"/>
        <v>3</v>
      </c>
      <c r="T21" s="86">
        <f t="shared" si="3"/>
        <v>102</v>
      </c>
      <c r="U21" s="87">
        <f t="shared" si="4"/>
        <v>3</v>
      </c>
      <c r="V21" s="86">
        <f t="shared" si="10"/>
        <v>186</v>
      </c>
      <c r="W21" s="87">
        <f t="shared" si="5"/>
        <v>2</v>
      </c>
      <c r="X21" s="86">
        <f t="shared" si="11"/>
        <v>184</v>
      </c>
      <c r="Y21" s="87">
        <f t="shared" si="6"/>
        <v>5</v>
      </c>
      <c r="Z21" s="86">
        <f t="shared" si="12"/>
        <v>352</v>
      </c>
      <c r="AA21" s="87">
        <f t="shared" si="7"/>
        <v>5</v>
      </c>
      <c r="AB21" s="88">
        <f t="shared" si="8"/>
        <v>1469</v>
      </c>
      <c r="AC21" s="87">
        <f t="shared" si="9"/>
        <v>2</v>
      </c>
      <c r="AD21" s="726"/>
      <c r="AE21" s="723"/>
      <c r="AF21" s="739"/>
    </row>
    <row r="22" spans="1:32" ht="13.5" customHeight="1">
      <c r="A22" s="89" t="s">
        <v>157</v>
      </c>
      <c r="B22" s="90">
        <v>53</v>
      </c>
      <c r="C22" s="91">
        <f>IF(B22="","",VLOOKUP(B22,Nevezés!$C$2:$G$81,4,FALSE))</f>
        <v>3</v>
      </c>
      <c r="D22" s="84" t="str">
        <f>IF(B22="","",VLOOKUP(B22,Nevezés!$C$2:$G$89,5,FALSE))</f>
        <v>Ringhoffer Zoltán</v>
      </c>
      <c r="E22" s="92" t="str">
        <f>IF(B22="","",VLOOKUP(B22,Nevezés!$C$2:$G$81,2,FALSE))</f>
        <v>Veszprém HTP</v>
      </c>
      <c r="F22" s="679">
        <v>581</v>
      </c>
      <c r="G22" s="680">
        <v>0</v>
      </c>
      <c r="H22" s="679">
        <v>90</v>
      </c>
      <c r="I22" s="680">
        <v>0</v>
      </c>
      <c r="J22" s="679">
        <v>104</v>
      </c>
      <c r="K22" s="680">
        <v>0</v>
      </c>
      <c r="L22" s="679">
        <v>124</v>
      </c>
      <c r="M22" s="680">
        <v>80</v>
      </c>
      <c r="N22" s="679">
        <v>92</v>
      </c>
      <c r="O22" s="680">
        <v>180</v>
      </c>
      <c r="P22" s="76">
        <f t="shared" si="0"/>
        <v>260</v>
      </c>
      <c r="Q22" s="77"/>
      <c r="R22" s="86">
        <f t="shared" si="1"/>
        <v>581</v>
      </c>
      <c r="S22" s="87">
        <f t="shared" si="2"/>
        <v>14</v>
      </c>
      <c r="T22" s="86">
        <f t="shared" si="3"/>
        <v>90</v>
      </c>
      <c r="U22" s="87">
        <f t="shared" si="4"/>
        <v>9</v>
      </c>
      <c r="V22" s="86">
        <f t="shared" si="10"/>
        <v>104</v>
      </c>
      <c r="W22" s="87">
        <f t="shared" si="5"/>
        <v>19</v>
      </c>
      <c r="X22" s="86">
        <f t="shared" si="11"/>
        <v>124</v>
      </c>
      <c r="Y22" s="87">
        <f t="shared" si="6"/>
        <v>20</v>
      </c>
      <c r="Z22" s="86">
        <f t="shared" si="12"/>
        <v>92</v>
      </c>
      <c r="AA22" s="87">
        <f t="shared" si="7"/>
        <v>49</v>
      </c>
      <c r="AB22" s="88">
        <f t="shared" si="8"/>
        <v>991</v>
      </c>
      <c r="AC22" s="87">
        <f t="shared" si="9"/>
        <v>21</v>
      </c>
      <c r="AD22" s="726"/>
      <c r="AE22" s="724"/>
      <c r="AF22" s="739"/>
    </row>
    <row r="23" spans="1:32" ht="13.5" customHeight="1">
      <c r="A23" s="93" t="s">
        <v>157</v>
      </c>
      <c r="B23" s="94">
        <v>54</v>
      </c>
      <c r="C23" s="95" t="e">
        <f>IF(B23="","",VLOOKUP(B23,Nevezés!$C$2:$G$81,4,FALSE))</f>
        <v>#N/A</v>
      </c>
      <c r="D23" s="84" t="e">
        <f>IF(B23="","",VLOOKUP(B23,Nevezés!$C$2:$G$89,5,FALSE))</f>
        <v>#N/A</v>
      </c>
      <c r="E23" s="96" t="e">
        <f>IF(B23="","",VLOOKUP(B23,Nevezés!$C$2:$G$81,2,FALSE))</f>
        <v>#N/A</v>
      </c>
      <c r="F23" s="679"/>
      <c r="G23" s="680"/>
      <c r="H23" s="679"/>
      <c r="I23" s="680"/>
      <c r="J23" s="679"/>
      <c r="K23" s="680"/>
      <c r="L23" s="679"/>
      <c r="M23" s="680"/>
      <c r="N23" s="679"/>
      <c r="O23" s="680"/>
      <c r="P23" s="76">
        <f t="shared" si="0"/>
        <v>0</v>
      </c>
      <c r="Q23" s="77"/>
      <c r="R23" s="97">
        <f t="shared" si="1"/>
        <v>0</v>
      </c>
      <c r="S23" s="87">
        <f t="shared" si="2"/>
        <v>61</v>
      </c>
      <c r="T23" s="97">
        <f t="shared" si="3"/>
        <v>0</v>
      </c>
      <c r="U23" s="87">
        <f t="shared" si="4"/>
        <v>45</v>
      </c>
      <c r="V23" s="97">
        <f t="shared" si="10"/>
        <v>0</v>
      </c>
      <c r="W23" s="87">
        <f t="shared" si="5"/>
        <v>46</v>
      </c>
      <c r="X23" s="97">
        <f t="shared" si="11"/>
        <v>0</v>
      </c>
      <c r="Y23" s="87">
        <f t="shared" si="6"/>
        <v>58</v>
      </c>
      <c r="Z23" s="97">
        <f t="shared" si="12"/>
        <v>0</v>
      </c>
      <c r="AA23" s="87">
        <f t="shared" si="7"/>
        <v>56</v>
      </c>
      <c r="AB23" s="98">
        <f t="shared" si="8"/>
        <v>0</v>
      </c>
      <c r="AC23" s="87">
        <f t="shared" si="9"/>
        <v>61</v>
      </c>
      <c r="AD23" s="726"/>
      <c r="AE23" s="725"/>
      <c r="AF23" s="739"/>
    </row>
    <row r="24" spans="1:32" ht="13.5" customHeight="1">
      <c r="A24" s="71" t="s">
        <v>158</v>
      </c>
      <c r="B24" s="72">
        <v>61</v>
      </c>
      <c r="C24" s="99">
        <f>IF(B24="","",VLOOKUP(B24,Nevezés!$C$2:$G$81,4,FALSE))</f>
        <v>1</v>
      </c>
      <c r="D24" s="100" t="str">
        <f>IF(B24="","",VLOOKUP(B24,Nevezés!$C$2:$G$89,5,FALSE))</f>
        <v>Epstein Imre</v>
      </c>
      <c r="E24" s="101" t="str">
        <f>IF(B24="","",VLOOKUP(B24,Nevezés!$C$2:$G$81,2,FALSE))</f>
        <v>Egri HTP</v>
      </c>
      <c r="F24" s="681">
        <v>564</v>
      </c>
      <c r="G24" s="682">
        <v>20</v>
      </c>
      <c r="H24" s="681">
        <v>0</v>
      </c>
      <c r="I24" s="682">
        <v>50</v>
      </c>
      <c r="J24" s="681">
        <v>94</v>
      </c>
      <c r="K24" s="682">
        <v>50</v>
      </c>
      <c r="L24" s="681">
        <v>140</v>
      </c>
      <c r="M24" s="682">
        <v>0</v>
      </c>
      <c r="N24" s="681">
        <v>92</v>
      </c>
      <c r="O24" s="682">
        <v>280</v>
      </c>
      <c r="P24" s="76">
        <f t="shared" si="0"/>
        <v>400</v>
      </c>
      <c r="Q24" s="77"/>
      <c r="R24" s="78">
        <f t="shared" si="1"/>
        <v>564</v>
      </c>
      <c r="S24" s="87">
        <f t="shared" si="2"/>
        <v>18</v>
      </c>
      <c r="T24" s="78">
        <f t="shared" si="3"/>
        <v>0</v>
      </c>
      <c r="U24" s="87">
        <f t="shared" si="4"/>
        <v>45</v>
      </c>
      <c r="V24" s="78">
        <f t="shared" si="10"/>
        <v>94</v>
      </c>
      <c r="W24" s="87">
        <f t="shared" si="5"/>
        <v>23</v>
      </c>
      <c r="X24" s="78">
        <f t="shared" si="11"/>
        <v>140</v>
      </c>
      <c r="Y24" s="87">
        <f t="shared" si="6"/>
        <v>13</v>
      </c>
      <c r="Z24" s="78">
        <f t="shared" si="12"/>
        <v>92</v>
      </c>
      <c r="AA24" s="87">
        <f t="shared" si="7"/>
        <v>49</v>
      </c>
      <c r="AB24" s="80">
        <f t="shared" si="8"/>
        <v>890</v>
      </c>
      <c r="AC24" s="87">
        <f t="shared" si="9"/>
        <v>29</v>
      </c>
      <c r="AD24" s="731">
        <f>SUM(AB24:AB27)</f>
        <v>2977</v>
      </c>
      <c r="AE24" s="740">
        <f>IF(AD24="","",RANK(AD24,$AD$4:$AD$91))</f>
        <v>11</v>
      </c>
      <c r="AF24" s="738">
        <f>P24+P25+P26+P27</f>
        <v>1360</v>
      </c>
    </row>
    <row r="25" spans="1:32" ht="13.5" customHeight="1">
      <c r="A25" s="81" t="s">
        <v>158</v>
      </c>
      <c r="B25" s="82">
        <v>62</v>
      </c>
      <c r="C25" s="102">
        <f>IF(B25="","",VLOOKUP(B25,Nevezés!$C$2:$G$81,4,FALSE))</f>
        <v>2</v>
      </c>
      <c r="D25" s="103" t="str">
        <f>IF(B25="","",VLOOKUP(B25,Nevezés!$C$2:$G$89,5,FALSE))</f>
        <v>Vincze Zsolt</v>
      </c>
      <c r="E25" s="104" t="str">
        <f>IF(B25="","",VLOOKUP(B25,Nevezés!$C$2:$G$81,2,FALSE))</f>
        <v>Egri HTP</v>
      </c>
      <c r="F25" s="681">
        <v>458</v>
      </c>
      <c r="G25" s="682">
        <v>0</v>
      </c>
      <c r="H25" s="681">
        <v>35</v>
      </c>
      <c r="I25" s="682">
        <v>0</v>
      </c>
      <c r="J25" s="681">
        <v>17</v>
      </c>
      <c r="K25" s="682">
        <v>100</v>
      </c>
      <c r="L25" s="681">
        <v>117</v>
      </c>
      <c r="M25" s="682">
        <v>0</v>
      </c>
      <c r="N25" s="681">
        <v>132</v>
      </c>
      <c r="O25" s="682">
        <v>160</v>
      </c>
      <c r="P25" s="76">
        <f t="shared" si="0"/>
        <v>260</v>
      </c>
      <c r="Q25" s="77"/>
      <c r="R25" s="86">
        <f t="shared" si="1"/>
        <v>458</v>
      </c>
      <c r="S25" s="87">
        <f t="shared" si="2"/>
        <v>41</v>
      </c>
      <c r="T25" s="86">
        <f t="shared" si="3"/>
        <v>35</v>
      </c>
      <c r="U25" s="87">
        <f t="shared" si="4"/>
        <v>35</v>
      </c>
      <c r="V25" s="86">
        <f t="shared" si="10"/>
        <v>17</v>
      </c>
      <c r="W25" s="87">
        <f t="shared" si="5"/>
        <v>43</v>
      </c>
      <c r="X25" s="86">
        <f t="shared" si="11"/>
        <v>117</v>
      </c>
      <c r="Y25" s="87">
        <f t="shared" si="6"/>
        <v>23</v>
      </c>
      <c r="Z25" s="86">
        <f t="shared" si="12"/>
        <v>132</v>
      </c>
      <c r="AA25" s="87">
        <f t="shared" si="7"/>
        <v>40</v>
      </c>
      <c r="AB25" s="88">
        <f t="shared" si="8"/>
        <v>759</v>
      </c>
      <c r="AC25" s="87">
        <f t="shared" si="9"/>
        <v>42</v>
      </c>
      <c r="AD25" s="732"/>
      <c r="AE25" s="723"/>
      <c r="AF25" s="739"/>
    </row>
    <row r="26" spans="1:32" ht="13.5" customHeight="1">
      <c r="A26" s="89" t="s">
        <v>158</v>
      </c>
      <c r="B26" s="90">
        <v>63</v>
      </c>
      <c r="C26" s="105">
        <f>IF(B26="","",VLOOKUP(B26,Nevezés!$C$2:$G$81,4,FALSE))</f>
        <v>3</v>
      </c>
      <c r="D26" s="103" t="str">
        <f>IF(B26="","",VLOOKUP(B26,Nevezés!$C$2:$G$89,5,FALSE))</f>
        <v>Barna Lajos</v>
      </c>
      <c r="E26" s="106" t="str">
        <f>IF(B26="","",VLOOKUP(B26,Nevezés!$C$2:$G$81,2,FALSE))</f>
        <v>Egri HTP</v>
      </c>
      <c r="F26" s="681">
        <v>458</v>
      </c>
      <c r="G26" s="682">
        <v>30</v>
      </c>
      <c r="H26" s="681">
        <v>2</v>
      </c>
      <c r="I26" s="682">
        <v>0</v>
      </c>
      <c r="J26" s="681">
        <v>0</v>
      </c>
      <c r="K26" s="682">
        <v>150</v>
      </c>
      <c r="L26" s="681">
        <v>6</v>
      </c>
      <c r="M26" s="682">
        <v>100</v>
      </c>
      <c r="N26" s="681">
        <v>132</v>
      </c>
      <c r="O26" s="682">
        <v>120</v>
      </c>
      <c r="P26" s="76">
        <f t="shared" si="0"/>
        <v>400</v>
      </c>
      <c r="Q26" s="77"/>
      <c r="R26" s="86">
        <f t="shared" si="1"/>
        <v>458</v>
      </c>
      <c r="S26" s="87">
        <f t="shared" si="2"/>
        <v>41</v>
      </c>
      <c r="T26" s="86">
        <f t="shared" si="3"/>
        <v>2</v>
      </c>
      <c r="U26" s="87">
        <f t="shared" si="4"/>
        <v>42</v>
      </c>
      <c r="V26" s="86">
        <f t="shared" si="10"/>
        <v>0</v>
      </c>
      <c r="W26" s="87">
        <f t="shared" si="5"/>
        <v>46</v>
      </c>
      <c r="X26" s="86">
        <f t="shared" si="11"/>
        <v>6</v>
      </c>
      <c r="Y26" s="87">
        <f t="shared" si="6"/>
        <v>57</v>
      </c>
      <c r="Z26" s="86">
        <f t="shared" si="12"/>
        <v>132</v>
      </c>
      <c r="AA26" s="87">
        <f t="shared" si="7"/>
        <v>40</v>
      </c>
      <c r="AB26" s="88">
        <f t="shared" si="8"/>
        <v>598</v>
      </c>
      <c r="AC26" s="87">
        <f t="shared" si="9"/>
        <v>52</v>
      </c>
      <c r="AD26" s="732"/>
      <c r="AE26" s="724"/>
      <c r="AF26" s="739"/>
    </row>
    <row r="27" spans="1:32" ht="13.5" customHeight="1">
      <c r="A27" s="93" t="s">
        <v>158</v>
      </c>
      <c r="B27" s="94">
        <v>64</v>
      </c>
      <c r="C27" s="107">
        <f>IF(B27="","",VLOOKUP(B27,Nevezés!$C$2:$G$81,4,FALSE))</f>
        <v>4</v>
      </c>
      <c r="D27" s="103" t="str">
        <f>IF(B27="","",VLOOKUP(B27,Nevezés!$C$2:$G$89,5,FALSE))</f>
        <v>Bak Sándor</v>
      </c>
      <c r="E27" s="108" t="str">
        <f>IF(B27="","",VLOOKUP(B27,Nevezés!$C$2:$G$81,2,FALSE))</f>
        <v>Egri HTP</v>
      </c>
      <c r="F27" s="681">
        <v>418</v>
      </c>
      <c r="G27" s="682">
        <v>20</v>
      </c>
      <c r="H27" s="681">
        <v>0</v>
      </c>
      <c r="I27" s="682">
        <v>0</v>
      </c>
      <c r="J27" s="681">
        <v>84</v>
      </c>
      <c r="K27" s="682">
        <v>20</v>
      </c>
      <c r="L27" s="681">
        <v>96</v>
      </c>
      <c r="M27" s="682">
        <v>80</v>
      </c>
      <c r="N27" s="681">
        <v>132</v>
      </c>
      <c r="O27" s="682">
        <v>180</v>
      </c>
      <c r="P27" s="76">
        <f t="shared" si="0"/>
        <v>300</v>
      </c>
      <c r="Q27" s="77"/>
      <c r="R27" s="97">
        <f t="shared" si="1"/>
        <v>418</v>
      </c>
      <c r="S27" s="87">
        <f t="shared" si="2"/>
        <v>50</v>
      </c>
      <c r="T27" s="97">
        <f t="shared" si="3"/>
        <v>0</v>
      </c>
      <c r="U27" s="87">
        <f t="shared" si="4"/>
        <v>45</v>
      </c>
      <c r="V27" s="97">
        <f t="shared" si="10"/>
        <v>84</v>
      </c>
      <c r="W27" s="87">
        <f t="shared" si="5"/>
        <v>28</v>
      </c>
      <c r="X27" s="97">
        <f t="shared" si="11"/>
        <v>96</v>
      </c>
      <c r="Y27" s="87">
        <f t="shared" si="6"/>
        <v>30</v>
      </c>
      <c r="Z27" s="97">
        <f t="shared" si="12"/>
        <v>132</v>
      </c>
      <c r="AA27" s="87">
        <f t="shared" si="7"/>
        <v>40</v>
      </c>
      <c r="AB27" s="98">
        <f t="shared" si="8"/>
        <v>730</v>
      </c>
      <c r="AC27" s="87">
        <f t="shared" si="9"/>
        <v>44</v>
      </c>
      <c r="AD27" s="733"/>
      <c r="AE27" s="725"/>
      <c r="AF27" s="739"/>
    </row>
    <row r="28" spans="1:32" ht="13.5" customHeight="1">
      <c r="A28" s="71" t="s">
        <v>159</v>
      </c>
      <c r="B28" s="72">
        <v>71</v>
      </c>
      <c r="C28" s="99">
        <f>IF(B28="","",VLOOKUP(B28,Nevezés!$C$2:$G$81,4,FALSE))</f>
        <v>1</v>
      </c>
      <c r="D28" s="100" t="str">
        <f>IF(B28="","",VLOOKUP(B28,Nevezés!$C$2:$G$89,5,FALSE))</f>
        <v>Hegedős Tibor</v>
      </c>
      <c r="E28" s="101" t="str">
        <f>IF(B28="","",VLOOKUP(B28,Nevezés!$C$2:$G$81,2,FALSE))</f>
        <v>Kiskunhalas HTP</v>
      </c>
      <c r="F28" s="679">
        <v>472</v>
      </c>
      <c r="G28" s="680">
        <v>0</v>
      </c>
      <c r="H28" s="679">
        <v>58</v>
      </c>
      <c r="I28" s="680">
        <v>0</v>
      </c>
      <c r="J28" s="679">
        <v>111</v>
      </c>
      <c r="K28" s="680">
        <v>0</v>
      </c>
      <c r="L28" s="679">
        <v>84</v>
      </c>
      <c r="M28" s="680">
        <v>80</v>
      </c>
      <c r="N28" s="679">
        <v>252</v>
      </c>
      <c r="O28" s="680">
        <v>0</v>
      </c>
      <c r="P28" s="76">
        <f t="shared" si="0"/>
        <v>80</v>
      </c>
      <c r="Q28" s="77"/>
      <c r="R28" s="78">
        <f t="shared" si="1"/>
        <v>472</v>
      </c>
      <c r="S28" s="87">
        <f t="shared" si="2"/>
        <v>37</v>
      </c>
      <c r="T28" s="78">
        <f t="shared" si="3"/>
        <v>58</v>
      </c>
      <c r="U28" s="87">
        <f t="shared" si="4"/>
        <v>23</v>
      </c>
      <c r="V28" s="78">
        <f t="shared" si="10"/>
        <v>111</v>
      </c>
      <c r="W28" s="87">
        <f t="shared" si="5"/>
        <v>18</v>
      </c>
      <c r="X28" s="78">
        <f t="shared" si="11"/>
        <v>84</v>
      </c>
      <c r="Y28" s="87">
        <f t="shared" si="6"/>
        <v>37</v>
      </c>
      <c r="Z28" s="78">
        <f t="shared" si="12"/>
        <v>252</v>
      </c>
      <c r="AA28" s="87">
        <f t="shared" si="7"/>
        <v>16</v>
      </c>
      <c r="AB28" s="80">
        <f t="shared" si="8"/>
        <v>977</v>
      </c>
      <c r="AC28" s="87">
        <f t="shared" si="9"/>
        <v>23</v>
      </c>
      <c r="AD28" s="726">
        <f>SUM(AB28:AB31)</f>
        <v>2614</v>
      </c>
      <c r="AE28" s="740">
        <f>IF(AD28="","",RANK(AD28,$AD$4:$AD$91))</f>
        <v>13</v>
      </c>
      <c r="AF28" s="738">
        <f>P28+P29+P30+P31</f>
        <v>1230</v>
      </c>
    </row>
    <row r="29" spans="1:32" ht="13.5" customHeight="1">
      <c r="A29" s="81" t="s">
        <v>159</v>
      </c>
      <c r="B29" s="82">
        <v>72</v>
      </c>
      <c r="C29" s="102">
        <f>IF(B29="","",VLOOKUP(B29,Nevezés!$C$2:$G$81,4,FALSE))</f>
        <v>2</v>
      </c>
      <c r="D29" s="103" t="str">
        <f>IF(B29="","",VLOOKUP(B29,Nevezés!$C$2:$G$89,5,FALSE))</f>
        <v>Baka Béla</v>
      </c>
      <c r="E29" s="104" t="str">
        <f>IF(B29="","",VLOOKUP(B29,Nevezés!$C$2:$G$81,2,FALSE))</f>
        <v>Kiskunhalas HTP</v>
      </c>
      <c r="F29" s="679">
        <v>454</v>
      </c>
      <c r="G29" s="680">
        <v>70</v>
      </c>
      <c r="H29" s="679">
        <v>18</v>
      </c>
      <c r="I29" s="680">
        <v>0</v>
      </c>
      <c r="J29" s="679">
        <v>31</v>
      </c>
      <c r="K29" s="680">
        <v>50</v>
      </c>
      <c r="L29" s="679">
        <v>56</v>
      </c>
      <c r="M29" s="680">
        <v>100</v>
      </c>
      <c r="N29" s="679">
        <v>152</v>
      </c>
      <c r="O29" s="680">
        <v>60</v>
      </c>
      <c r="P29" s="76">
        <f t="shared" si="0"/>
        <v>280</v>
      </c>
      <c r="Q29" s="77"/>
      <c r="R29" s="86">
        <f t="shared" si="1"/>
        <v>454</v>
      </c>
      <c r="S29" s="87">
        <f t="shared" si="2"/>
        <v>44</v>
      </c>
      <c r="T29" s="86">
        <f t="shared" si="3"/>
        <v>18</v>
      </c>
      <c r="U29" s="87">
        <f t="shared" si="4"/>
        <v>40</v>
      </c>
      <c r="V29" s="86">
        <f t="shared" si="10"/>
        <v>31</v>
      </c>
      <c r="W29" s="87">
        <f t="shared" si="5"/>
        <v>41</v>
      </c>
      <c r="X29" s="86">
        <f t="shared" si="11"/>
        <v>56</v>
      </c>
      <c r="Y29" s="87">
        <f t="shared" si="6"/>
        <v>50</v>
      </c>
      <c r="Z29" s="86">
        <f t="shared" si="12"/>
        <v>152</v>
      </c>
      <c r="AA29" s="87">
        <f t="shared" si="7"/>
        <v>35</v>
      </c>
      <c r="AB29" s="88">
        <f t="shared" si="8"/>
        <v>711</v>
      </c>
      <c r="AC29" s="87">
        <f t="shared" si="9"/>
        <v>46</v>
      </c>
      <c r="AD29" s="726"/>
      <c r="AE29" s="723"/>
      <c r="AF29" s="739"/>
    </row>
    <row r="30" spans="1:32" ht="13.5" customHeight="1">
      <c r="A30" s="89" t="s">
        <v>159</v>
      </c>
      <c r="B30" s="90">
        <v>73</v>
      </c>
      <c r="C30" s="105">
        <f>IF(B30="","",VLOOKUP(B30,Nevezés!$C$2:$G$81,4,FALSE))</f>
        <v>3</v>
      </c>
      <c r="D30" s="103" t="str">
        <f>IF(B30="","",VLOOKUP(B30,Nevezés!$C$2:$G$89,5,FALSE))</f>
        <v>Krivai Sándor</v>
      </c>
      <c r="E30" s="106" t="str">
        <f>IF(B30="","",VLOOKUP(B30,Nevezés!$C$2:$G$81,2,FALSE))</f>
        <v>Kiskunhalas HTP</v>
      </c>
      <c r="F30" s="679">
        <v>380</v>
      </c>
      <c r="G30" s="680">
        <v>0</v>
      </c>
      <c r="H30" s="679">
        <v>0</v>
      </c>
      <c r="I30" s="680">
        <v>0</v>
      </c>
      <c r="J30" s="679">
        <v>0</v>
      </c>
      <c r="K30" s="680">
        <v>100</v>
      </c>
      <c r="L30" s="679">
        <v>0</v>
      </c>
      <c r="M30" s="680">
        <v>50</v>
      </c>
      <c r="N30" s="679">
        <v>0</v>
      </c>
      <c r="O30" s="680">
        <v>220</v>
      </c>
      <c r="P30" s="76">
        <f t="shared" si="0"/>
        <v>370</v>
      </c>
      <c r="Q30" s="77"/>
      <c r="R30" s="86">
        <f t="shared" si="1"/>
        <v>380</v>
      </c>
      <c r="S30" s="87">
        <f t="shared" si="2"/>
        <v>55</v>
      </c>
      <c r="T30" s="86">
        <f t="shared" si="3"/>
        <v>0</v>
      </c>
      <c r="U30" s="87">
        <f t="shared" si="4"/>
        <v>45</v>
      </c>
      <c r="V30" s="86">
        <f t="shared" si="10"/>
        <v>0</v>
      </c>
      <c r="W30" s="87">
        <f t="shared" si="5"/>
        <v>46</v>
      </c>
      <c r="X30" s="86">
        <f t="shared" si="11"/>
        <v>0</v>
      </c>
      <c r="Y30" s="87">
        <f t="shared" si="6"/>
        <v>58</v>
      </c>
      <c r="Z30" s="86">
        <f t="shared" si="12"/>
        <v>0</v>
      </c>
      <c r="AA30" s="87">
        <f t="shared" si="7"/>
        <v>56</v>
      </c>
      <c r="AB30" s="88">
        <f t="shared" si="8"/>
        <v>380</v>
      </c>
      <c r="AC30" s="87">
        <f t="shared" si="9"/>
        <v>60</v>
      </c>
      <c r="AD30" s="726"/>
      <c r="AE30" s="724"/>
      <c r="AF30" s="739"/>
    </row>
    <row r="31" spans="1:32" ht="13.5" customHeight="1">
      <c r="A31" s="93" t="s">
        <v>159</v>
      </c>
      <c r="B31" s="94">
        <v>74</v>
      </c>
      <c r="C31" s="107">
        <f>IF(B31="","",VLOOKUP(B31,Nevezés!$C$2:$G$81,4,FALSE))</f>
        <v>4</v>
      </c>
      <c r="D31" s="103" t="str">
        <f>IF(B31="","",VLOOKUP(B31,Nevezés!$C$2:$G$89,5,FALSE))</f>
        <v>Csernák Zsolt</v>
      </c>
      <c r="E31" s="108" t="str">
        <f>IF(B31="","",VLOOKUP(B31,Nevezés!$C$2:$G$81,2,FALSE))</f>
        <v>Kiskunhalas HTP</v>
      </c>
      <c r="F31" s="679">
        <v>314</v>
      </c>
      <c r="G31" s="680">
        <v>80</v>
      </c>
      <c r="H31" s="679">
        <v>49</v>
      </c>
      <c r="I31" s="680">
        <v>0</v>
      </c>
      <c r="J31" s="679">
        <v>0</v>
      </c>
      <c r="K31" s="680">
        <v>100</v>
      </c>
      <c r="L31" s="679">
        <v>63</v>
      </c>
      <c r="M31" s="680">
        <v>160</v>
      </c>
      <c r="N31" s="679">
        <v>120</v>
      </c>
      <c r="O31" s="680">
        <v>160</v>
      </c>
      <c r="P31" s="76">
        <f t="shared" si="0"/>
        <v>500</v>
      </c>
      <c r="Q31" s="77"/>
      <c r="R31" s="97">
        <f t="shared" si="1"/>
        <v>314</v>
      </c>
      <c r="S31" s="87">
        <f t="shared" si="2"/>
        <v>57</v>
      </c>
      <c r="T31" s="97">
        <f t="shared" si="3"/>
        <v>49</v>
      </c>
      <c r="U31" s="87">
        <f t="shared" si="4"/>
        <v>29</v>
      </c>
      <c r="V31" s="97">
        <f t="shared" si="10"/>
        <v>0</v>
      </c>
      <c r="W31" s="87">
        <f t="shared" si="5"/>
        <v>46</v>
      </c>
      <c r="X31" s="97">
        <f t="shared" si="11"/>
        <v>63</v>
      </c>
      <c r="Y31" s="87">
        <f t="shared" si="6"/>
        <v>47</v>
      </c>
      <c r="Z31" s="97">
        <f t="shared" si="12"/>
        <v>120</v>
      </c>
      <c r="AA31" s="87">
        <f t="shared" si="7"/>
        <v>46</v>
      </c>
      <c r="AB31" s="98">
        <f t="shared" si="8"/>
        <v>546</v>
      </c>
      <c r="AC31" s="87">
        <f t="shared" si="9"/>
        <v>54</v>
      </c>
      <c r="AD31" s="726"/>
      <c r="AE31" s="725"/>
      <c r="AF31" s="739"/>
    </row>
    <row r="32" spans="1:32" ht="13.5" customHeight="1">
      <c r="A32" s="71" t="s">
        <v>160</v>
      </c>
      <c r="B32" s="72">
        <v>81</v>
      </c>
      <c r="C32" s="99">
        <f>IF(B32="","",VLOOKUP(B32,Nevezés!$C$2:$G$81,4,FALSE))</f>
        <v>1</v>
      </c>
      <c r="D32" s="100" t="str">
        <f>IF(B32="","",VLOOKUP(B32,Nevezés!$C$2:$G$89,5,FALSE))</f>
        <v>Nagy István</v>
      </c>
      <c r="E32" s="101" t="str">
        <f>IF(B32="","",VLOOKUP(B32,Nevezés!$C$2:$G$81,2,FALSE))</f>
        <v>Baja HTP</v>
      </c>
      <c r="F32" s="679">
        <v>574</v>
      </c>
      <c r="G32" s="680">
        <v>0</v>
      </c>
      <c r="H32" s="679">
        <v>87</v>
      </c>
      <c r="I32" s="680">
        <v>0</v>
      </c>
      <c r="J32" s="679">
        <v>64</v>
      </c>
      <c r="K32" s="680">
        <v>50</v>
      </c>
      <c r="L32" s="679">
        <v>205</v>
      </c>
      <c r="M32" s="680">
        <v>0</v>
      </c>
      <c r="N32" s="679">
        <v>124</v>
      </c>
      <c r="O32" s="680">
        <v>120</v>
      </c>
      <c r="P32" s="76">
        <f t="shared" si="0"/>
        <v>170</v>
      </c>
      <c r="Q32" s="77"/>
      <c r="R32" s="78">
        <f t="shared" si="1"/>
        <v>574</v>
      </c>
      <c r="S32" s="87">
        <f t="shared" si="2"/>
        <v>17</v>
      </c>
      <c r="T32" s="78">
        <f t="shared" si="3"/>
        <v>87</v>
      </c>
      <c r="U32" s="87">
        <f t="shared" si="4"/>
        <v>12</v>
      </c>
      <c r="V32" s="78">
        <f t="shared" si="10"/>
        <v>64</v>
      </c>
      <c r="W32" s="87">
        <f t="shared" si="5"/>
        <v>34</v>
      </c>
      <c r="X32" s="78">
        <f t="shared" si="11"/>
        <v>205</v>
      </c>
      <c r="Y32" s="87">
        <f t="shared" si="6"/>
        <v>3</v>
      </c>
      <c r="Z32" s="78">
        <f t="shared" si="12"/>
        <v>124</v>
      </c>
      <c r="AA32" s="87">
        <f t="shared" si="7"/>
        <v>44</v>
      </c>
      <c r="AB32" s="80">
        <f t="shared" si="8"/>
        <v>1054</v>
      </c>
      <c r="AC32" s="87">
        <f t="shared" si="9"/>
        <v>16</v>
      </c>
      <c r="AD32" s="731">
        <f>SUM(AB32:AB35)</f>
        <v>4025</v>
      </c>
      <c r="AE32" s="740">
        <f>IF(AD32="","",RANK(AD32,$AD$4:$AD$91))</f>
        <v>5</v>
      </c>
      <c r="AF32" s="738">
        <f>P32+P33+P34+P35</f>
        <v>830</v>
      </c>
    </row>
    <row r="33" spans="1:32" ht="13.5" customHeight="1">
      <c r="A33" s="81" t="s">
        <v>160</v>
      </c>
      <c r="B33" s="82">
        <v>82</v>
      </c>
      <c r="C33" s="102">
        <f>IF(B33="","",VLOOKUP(B33,Nevezés!$C$2:$G$81,4,FALSE))</f>
        <v>2</v>
      </c>
      <c r="D33" s="103" t="str">
        <f>IF(B33="","",VLOOKUP(B33,Nevezés!$C$2:$G$89,5,FALSE))</f>
        <v>Husti Krisztián</v>
      </c>
      <c r="E33" s="104" t="str">
        <f>IF(B33="","",VLOOKUP(B33,Nevezés!$C$2:$G$81,2,FALSE))</f>
        <v>Baja HTP</v>
      </c>
      <c r="F33" s="679">
        <v>639</v>
      </c>
      <c r="G33" s="680">
        <v>0</v>
      </c>
      <c r="H33" s="679">
        <v>53</v>
      </c>
      <c r="I33" s="680">
        <v>0</v>
      </c>
      <c r="J33" s="679">
        <v>78</v>
      </c>
      <c r="K33" s="680">
        <v>50</v>
      </c>
      <c r="L33" s="679">
        <v>181</v>
      </c>
      <c r="M33" s="680">
        <v>0</v>
      </c>
      <c r="N33" s="679">
        <v>104</v>
      </c>
      <c r="O33" s="680">
        <v>180</v>
      </c>
      <c r="P33" s="76">
        <f t="shared" si="0"/>
        <v>230</v>
      </c>
      <c r="Q33" s="77"/>
      <c r="R33" s="86">
        <f t="shared" si="1"/>
        <v>639</v>
      </c>
      <c r="S33" s="87">
        <f t="shared" si="2"/>
        <v>4</v>
      </c>
      <c r="T33" s="86">
        <f t="shared" si="3"/>
        <v>53</v>
      </c>
      <c r="U33" s="87">
        <f t="shared" si="4"/>
        <v>26</v>
      </c>
      <c r="V33" s="86">
        <f t="shared" si="10"/>
        <v>78</v>
      </c>
      <c r="W33" s="87">
        <f t="shared" si="5"/>
        <v>31</v>
      </c>
      <c r="X33" s="86">
        <f t="shared" si="11"/>
        <v>181</v>
      </c>
      <c r="Y33" s="87">
        <f t="shared" si="6"/>
        <v>7</v>
      </c>
      <c r="Z33" s="86">
        <f t="shared" si="12"/>
        <v>104</v>
      </c>
      <c r="AA33" s="87">
        <f t="shared" si="7"/>
        <v>47</v>
      </c>
      <c r="AB33" s="88">
        <f t="shared" si="8"/>
        <v>1055</v>
      </c>
      <c r="AC33" s="87">
        <f t="shared" si="9"/>
        <v>15</v>
      </c>
      <c r="AD33" s="732"/>
      <c r="AE33" s="723"/>
      <c r="AF33" s="739"/>
    </row>
    <row r="34" spans="1:32" ht="13.5" customHeight="1">
      <c r="A34" s="89" t="s">
        <v>160</v>
      </c>
      <c r="B34" s="90">
        <v>83</v>
      </c>
      <c r="C34" s="105">
        <f>IF(B34="","",VLOOKUP(B34,Nevezés!$C$2:$G$81,4,FALSE))</f>
        <v>3</v>
      </c>
      <c r="D34" s="103" t="str">
        <f>IF(B34="","",VLOOKUP(B34,Nevezés!$C$2:$G$89,5,FALSE))</f>
        <v>Benák János</v>
      </c>
      <c r="E34" s="106" t="str">
        <f>IF(B34="","",VLOOKUP(B34,Nevezés!$C$2:$G$81,2,FALSE))</f>
        <v>Baja HTP</v>
      </c>
      <c r="F34" s="679">
        <v>620</v>
      </c>
      <c r="G34" s="680">
        <v>0</v>
      </c>
      <c r="H34" s="679">
        <v>69</v>
      </c>
      <c r="I34" s="680">
        <v>0</v>
      </c>
      <c r="J34" s="679">
        <v>0</v>
      </c>
      <c r="K34" s="680">
        <v>70</v>
      </c>
      <c r="L34" s="679">
        <v>104</v>
      </c>
      <c r="M34" s="680">
        <v>0</v>
      </c>
      <c r="N34" s="679">
        <v>136</v>
      </c>
      <c r="O34" s="680">
        <v>140</v>
      </c>
      <c r="P34" s="76">
        <f t="shared" si="0"/>
        <v>210</v>
      </c>
      <c r="Q34" s="77"/>
      <c r="R34" s="86">
        <f t="shared" si="1"/>
        <v>620</v>
      </c>
      <c r="S34" s="87">
        <f t="shared" si="2"/>
        <v>5</v>
      </c>
      <c r="T34" s="86">
        <f t="shared" si="3"/>
        <v>69</v>
      </c>
      <c r="U34" s="87">
        <f t="shared" si="4"/>
        <v>18</v>
      </c>
      <c r="V34" s="86">
        <f t="shared" si="10"/>
        <v>0</v>
      </c>
      <c r="W34" s="87">
        <f t="shared" si="5"/>
        <v>46</v>
      </c>
      <c r="X34" s="86">
        <f t="shared" si="11"/>
        <v>104</v>
      </c>
      <c r="Y34" s="87">
        <f t="shared" si="6"/>
        <v>28</v>
      </c>
      <c r="Z34" s="86">
        <f t="shared" si="12"/>
        <v>136</v>
      </c>
      <c r="AA34" s="87">
        <f t="shared" si="7"/>
        <v>39</v>
      </c>
      <c r="AB34" s="88">
        <f t="shared" si="8"/>
        <v>929</v>
      </c>
      <c r="AC34" s="87">
        <f t="shared" si="9"/>
        <v>26</v>
      </c>
      <c r="AD34" s="732"/>
      <c r="AE34" s="724"/>
      <c r="AF34" s="739"/>
    </row>
    <row r="35" spans="1:32" ht="13.5" customHeight="1">
      <c r="A35" s="93" t="s">
        <v>160</v>
      </c>
      <c r="B35" s="94">
        <v>84</v>
      </c>
      <c r="C35" s="107">
        <f>IF(B35="","",VLOOKUP(B35,Nevezés!$C$2:$G$81,4,FALSE))</f>
        <v>4</v>
      </c>
      <c r="D35" s="103" t="str">
        <f>IF(B35="","",VLOOKUP(B35,Nevezés!$C$2:$G$89,5,FALSE))</f>
        <v>Gyulavári Gergely</v>
      </c>
      <c r="E35" s="108" t="str">
        <f>IF(B35="","",VLOOKUP(B35,Nevezés!$C$2:$G$81,2,FALSE))</f>
        <v>Baja HTP</v>
      </c>
      <c r="F35" s="679">
        <v>537</v>
      </c>
      <c r="G35" s="680">
        <v>40</v>
      </c>
      <c r="H35" s="679">
        <v>44</v>
      </c>
      <c r="I35" s="680">
        <v>0</v>
      </c>
      <c r="J35" s="679">
        <v>115</v>
      </c>
      <c r="K35" s="680">
        <v>0</v>
      </c>
      <c r="L35" s="679">
        <v>35</v>
      </c>
      <c r="M35" s="680">
        <v>160</v>
      </c>
      <c r="N35" s="679">
        <v>256</v>
      </c>
      <c r="O35" s="680">
        <v>20</v>
      </c>
      <c r="P35" s="76">
        <f t="shared" si="0"/>
        <v>220</v>
      </c>
      <c r="Q35" s="77"/>
      <c r="R35" s="97">
        <f t="shared" si="1"/>
        <v>537</v>
      </c>
      <c r="S35" s="87">
        <f t="shared" si="2"/>
        <v>22</v>
      </c>
      <c r="T35" s="97">
        <f t="shared" si="3"/>
        <v>44</v>
      </c>
      <c r="U35" s="87">
        <f t="shared" si="4"/>
        <v>30</v>
      </c>
      <c r="V35" s="97">
        <f t="shared" si="10"/>
        <v>115</v>
      </c>
      <c r="W35" s="87">
        <f t="shared" si="5"/>
        <v>17</v>
      </c>
      <c r="X35" s="97">
        <f t="shared" si="11"/>
        <v>35</v>
      </c>
      <c r="Y35" s="87">
        <f t="shared" si="6"/>
        <v>54</v>
      </c>
      <c r="Z35" s="97">
        <f t="shared" si="12"/>
        <v>256</v>
      </c>
      <c r="AA35" s="87">
        <f t="shared" si="7"/>
        <v>15</v>
      </c>
      <c r="AB35" s="98">
        <f t="shared" si="8"/>
        <v>987</v>
      </c>
      <c r="AC35" s="87">
        <f t="shared" si="9"/>
        <v>22</v>
      </c>
      <c r="AD35" s="733"/>
      <c r="AE35" s="725"/>
      <c r="AF35" s="739"/>
    </row>
    <row r="36" spans="1:32" ht="13.5" customHeight="1">
      <c r="A36" s="71" t="s">
        <v>161</v>
      </c>
      <c r="B36" s="72">
        <v>91</v>
      </c>
      <c r="C36" s="99">
        <f>IF(B36="","",VLOOKUP(B36,Nevezés!$C$2:$G$81,4,FALSE))</f>
        <v>1</v>
      </c>
      <c r="D36" s="100" t="str">
        <f>IF(B36="","",VLOOKUP(B36,Nevezés!$C$2:$G$89,5,FALSE))</f>
        <v>András Attila</v>
      </c>
      <c r="E36" s="101" t="str">
        <f>IF(B36="","",VLOOKUP(B36,Nevezés!$C$2:$G$81,2,FALSE))</f>
        <v>Kecskemét HTP</v>
      </c>
      <c r="F36" s="679">
        <v>515</v>
      </c>
      <c r="G36" s="680">
        <v>0</v>
      </c>
      <c r="H36" s="679">
        <v>82</v>
      </c>
      <c r="I36" s="680">
        <v>0</v>
      </c>
      <c r="J36" s="679">
        <v>59</v>
      </c>
      <c r="K36" s="680">
        <v>50</v>
      </c>
      <c r="L36" s="679">
        <v>147</v>
      </c>
      <c r="M36" s="680">
        <v>0</v>
      </c>
      <c r="N36" s="679">
        <v>218</v>
      </c>
      <c r="O36" s="680">
        <v>60</v>
      </c>
      <c r="P36" s="76">
        <f aca="true" t="shared" si="13" ref="P36:P67">G36+I36+K36+M36+O36</f>
        <v>110</v>
      </c>
      <c r="Q36" s="77"/>
      <c r="R36" s="78">
        <f aca="true" t="shared" si="14" ref="R36:R67">IF(F36="",0,F36)</f>
        <v>515</v>
      </c>
      <c r="S36" s="87">
        <f aca="true" t="shared" si="15" ref="S36:S67">IF(R36="","",RANK(R36,$R$4:$R$91))</f>
        <v>25</v>
      </c>
      <c r="T36" s="78">
        <f aca="true" t="shared" si="16" ref="T36:T67">IF(H36="",0,H36)</f>
        <v>82</v>
      </c>
      <c r="U36" s="87">
        <f aca="true" t="shared" si="17" ref="U36:U67">IF(T36="","",RANK(T36,$T$4:$T$91))</f>
        <v>14</v>
      </c>
      <c r="V36" s="78">
        <f t="shared" si="10"/>
        <v>59</v>
      </c>
      <c r="W36" s="87">
        <f aca="true" t="shared" si="18" ref="W36:W67">IF(V36="","",RANK(V36,$V$4:$V$91))</f>
        <v>35</v>
      </c>
      <c r="X36" s="78">
        <f t="shared" si="11"/>
        <v>147</v>
      </c>
      <c r="Y36" s="87">
        <f aca="true" t="shared" si="19" ref="Y36:Y67">IF(X36="","",RANK(X36,$X$4:$X$91))</f>
        <v>11</v>
      </c>
      <c r="Z36" s="78">
        <f t="shared" si="12"/>
        <v>218</v>
      </c>
      <c r="AA36" s="87">
        <f aca="true" t="shared" si="20" ref="AA36:AA67">IF(Z36="","",RANK(Z36,$Z$4:$Z$91))</f>
        <v>22</v>
      </c>
      <c r="AB36" s="80">
        <f aca="true" t="shared" si="21" ref="AB36:AB67">R36+T36+V36+X36+Z36</f>
        <v>1021</v>
      </c>
      <c r="AC36" s="87">
        <f aca="true" t="shared" si="22" ref="AC36:AC67">IF(AB36="","",RANK(AB36,$AB$4:$AB$91))</f>
        <v>18</v>
      </c>
      <c r="AD36" s="726">
        <f>SUM(AB36:AB39)</f>
        <v>4075</v>
      </c>
      <c r="AE36" s="740">
        <f>IF(AD36="","",RANK(AD36,$AD$4:$AD$91))</f>
        <v>4</v>
      </c>
      <c r="AF36" s="738">
        <f>P36+P37+P38+P39</f>
        <v>530</v>
      </c>
    </row>
    <row r="37" spans="1:32" ht="13.5" customHeight="1">
      <c r="A37" s="81" t="s">
        <v>161</v>
      </c>
      <c r="B37" s="82">
        <v>92</v>
      </c>
      <c r="C37" s="102">
        <f>IF(B37="","",VLOOKUP(B37,Nevezés!$C$2:$G$81,4,FALSE))</f>
        <v>2</v>
      </c>
      <c r="D37" s="103" t="str">
        <f>IF(B37="","",VLOOKUP(B37,Nevezés!$C$2:$G$89,5,FALSE))</f>
        <v>Székely Csaba</v>
      </c>
      <c r="E37" s="104" t="str">
        <f>IF(B37="","",VLOOKUP(B37,Nevezés!$C$2:$G$81,2,FALSE))</f>
        <v>Kecskemét HTP</v>
      </c>
      <c r="F37" s="679">
        <v>580</v>
      </c>
      <c r="G37" s="680">
        <v>0</v>
      </c>
      <c r="H37" s="679">
        <v>55</v>
      </c>
      <c r="I37" s="680">
        <v>0</v>
      </c>
      <c r="J37" s="679">
        <v>0</v>
      </c>
      <c r="K37" s="680">
        <v>100</v>
      </c>
      <c r="L37" s="679">
        <v>0</v>
      </c>
      <c r="M37" s="680">
        <v>0</v>
      </c>
      <c r="N37" s="679">
        <v>250</v>
      </c>
      <c r="O37" s="680">
        <v>40</v>
      </c>
      <c r="P37" s="76">
        <f t="shared" si="13"/>
        <v>140</v>
      </c>
      <c r="Q37" s="77"/>
      <c r="R37" s="86">
        <f t="shared" si="14"/>
        <v>580</v>
      </c>
      <c r="S37" s="87">
        <f t="shared" si="15"/>
        <v>15</v>
      </c>
      <c r="T37" s="86">
        <f t="shared" si="16"/>
        <v>55</v>
      </c>
      <c r="U37" s="87">
        <f t="shared" si="17"/>
        <v>25</v>
      </c>
      <c r="V37" s="86">
        <f t="shared" si="10"/>
        <v>0</v>
      </c>
      <c r="W37" s="87">
        <f t="shared" si="18"/>
        <v>46</v>
      </c>
      <c r="X37" s="86">
        <f t="shared" si="11"/>
        <v>0</v>
      </c>
      <c r="Y37" s="87">
        <f t="shared" si="19"/>
        <v>58</v>
      </c>
      <c r="Z37" s="86">
        <f t="shared" si="12"/>
        <v>250</v>
      </c>
      <c r="AA37" s="87">
        <f t="shared" si="20"/>
        <v>17</v>
      </c>
      <c r="AB37" s="88">
        <f t="shared" si="21"/>
        <v>885</v>
      </c>
      <c r="AC37" s="87">
        <f t="shared" si="22"/>
        <v>31</v>
      </c>
      <c r="AD37" s="726"/>
      <c r="AE37" s="723"/>
      <c r="AF37" s="739"/>
    </row>
    <row r="38" spans="1:32" ht="13.5" customHeight="1">
      <c r="A38" s="89" t="s">
        <v>161</v>
      </c>
      <c r="B38" s="90">
        <v>93</v>
      </c>
      <c r="C38" s="105">
        <f>IF(B38="","",VLOOKUP(B38,Nevezés!$C$2:$G$81,4,FALSE))</f>
        <v>3</v>
      </c>
      <c r="D38" s="103" t="str">
        <f>IF(B38="","",VLOOKUP(B38,Nevezés!$C$2:$G$89,5,FALSE))</f>
        <v>Mozsárik Lajos </v>
      </c>
      <c r="E38" s="106" t="str">
        <f>IF(B38="","",VLOOKUP(B38,Nevezés!$C$2:$G$81,2,FALSE))</f>
        <v>Kecskemét HTP</v>
      </c>
      <c r="F38" s="679">
        <v>608</v>
      </c>
      <c r="G38" s="680">
        <v>0</v>
      </c>
      <c r="H38" s="679">
        <v>51</v>
      </c>
      <c r="I38" s="680">
        <v>0</v>
      </c>
      <c r="J38" s="679">
        <v>68</v>
      </c>
      <c r="K38" s="680">
        <v>0</v>
      </c>
      <c r="L38" s="679">
        <v>182</v>
      </c>
      <c r="M38" s="680">
        <v>0</v>
      </c>
      <c r="N38" s="679">
        <v>298</v>
      </c>
      <c r="O38" s="680">
        <v>20</v>
      </c>
      <c r="P38" s="76">
        <f t="shared" si="13"/>
        <v>20</v>
      </c>
      <c r="Q38" s="77"/>
      <c r="R38" s="86">
        <f t="shared" si="14"/>
        <v>608</v>
      </c>
      <c r="S38" s="87">
        <f t="shared" si="15"/>
        <v>10</v>
      </c>
      <c r="T38" s="86">
        <f t="shared" si="16"/>
        <v>51</v>
      </c>
      <c r="U38" s="87">
        <f t="shared" si="17"/>
        <v>27</v>
      </c>
      <c r="V38" s="86">
        <f t="shared" si="10"/>
        <v>68</v>
      </c>
      <c r="W38" s="87">
        <f t="shared" si="18"/>
        <v>33</v>
      </c>
      <c r="X38" s="86">
        <f t="shared" si="11"/>
        <v>182</v>
      </c>
      <c r="Y38" s="87">
        <f t="shared" si="19"/>
        <v>6</v>
      </c>
      <c r="Z38" s="86">
        <f t="shared" si="12"/>
        <v>298</v>
      </c>
      <c r="AA38" s="87">
        <f t="shared" si="20"/>
        <v>11</v>
      </c>
      <c r="AB38" s="88">
        <f t="shared" si="21"/>
        <v>1207</v>
      </c>
      <c r="AC38" s="87">
        <f t="shared" si="22"/>
        <v>8</v>
      </c>
      <c r="AD38" s="726"/>
      <c r="AE38" s="724"/>
      <c r="AF38" s="739"/>
    </row>
    <row r="39" spans="1:32" ht="13.5" customHeight="1">
      <c r="A39" s="93" t="s">
        <v>161</v>
      </c>
      <c r="B39" s="94">
        <v>94</v>
      </c>
      <c r="C39" s="107">
        <f>IF(B39="","",VLOOKUP(B39,Nevezés!$C$2:$G$81,4,FALSE))</f>
        <v>4</v>
      </c>
      <c r="D39" s="103" t="str">
        <f>IF(B39="","",VLOOKUP(B39,Nevezés!$C$2:$G$89,5,FALSE))</f>
        <v>Kaszap Ferenc</v>
      </c>
      <c r="E39" s="108" t="str">
        <f>IF(B39="","",VLOOKUP(B39,Nevezés!$C$2:$G$81,2,FALSE))</f>
        <v>Kecskemét HTP</v>
      </c>
      <c r="F39" s="679">
        <v>610</v>
      </c>
      <c r="G39" s="680">
        <v>0</v>
      </c>
      <c r="H39" s="679">
        <v>28</v>
      </c>
      <c r="I39" s="680">
        <v>0</v>
      </c>
      <c r="J39" s="679">
        <v>99</v>
      </c>
      <c r="K39" s="680">
        <v>20</v>
      </c>
      <c r="L39" s="679">
        <v>41</v>
      </c>
      <c r="M39" s="680">
        <v>160</v>
      </c>
      <c r="N39" s="679">
        <v>184</v>
      </c>
      <c r="O39" s="680">
        <v>80</v>
      </c>
      <c r="P39" s="76">
        <f t="shared" si="13"/>
        <v>260</v>
      </c>
      <c r="Q39" s="77"/>
      <c r="R39" s="97">
        <f t="shared" si="14"/>
        <v>610</v>
      </c>
      <c r="S39" s="87">
        <f t="shared" si="15"/>
        <v>9</v>
      </c>
      <c r="T39" s="97">
        <f t="shared" si="16"/>
        <v>28</v>
      </c>
      <c r="U39" s="87">
        <f t="shared" si="17"/>
        <v>37</v>
      </c>
      <c r="V39" s="97">
        <f t="shared" si="10"/>
        <v>99</v>
      </c>
      <c r="W39" s="87">
        <f t="shared" si="18"/>
        <v>22</v>
      </c>
      <c r="X39" s="97">
        <f t="shared" si="11"/>
        <v>41</v>
      </c>
      <c r="Y39" s="87">
        <f t="shared" si="19"/>
        <v>53</v>
      </c>
      <c r="Z39" s="97">
        <f t="shared" si="12"/>
        <v>184</v>
      </c>
      <c r="AA39" s="87">
        <f t="shared" si="20"/>
        <v>30</v>
      </c>
      <c r="AB39" s="98">
        <f t="shared" si="21"/>
        <v>962</v>
      </c>
      <c r="AC39" s="87">
        <f t="shared" si="22"/>
        <v>24</v>
      </c>
      <c r="AD39" s="726"/>
      <c r="AE39" s="725"/>
      <c r="AF39" s="739"/>
    </row>
    <row r="40" spans="1:32" ht="13.5" customHeight="1">
      <c r="A40" s="71" t="s">
        <v>162</v>
      </c>
      <c r="B40" s="72">
        <v>101</v>
      </c>
      <c r="C40" s="99">
        <f>IF(B40="","",VLOOKUP(B40,Nevezés!$C$2:$G$81,4,FALSE))</f>
        <v>1</v>
      </c>
      <c r="D40" s="100" t="str">
        <f>IF(B40="","",VLOOKUP(B40,Nevezés!$C$2:$G$89,5,FALSE))</f>
        <v>Scheinpfulg József</v>
      </c>
      <c r="E40" s="101" t="str">
        <f>IF(B40="","",VLOOKUP(B40,Nevezés!$C$2:$G$81,2,FALSE))</f>
        <v>Csongrád MKI</v>
      </c>
      <c r="F40" s="679">
        <v>494</v>
      </c>
      <c r="G40" s="680">
        <v>0</v>
      </c>
      <c r="H40" s="679">
        <v>68</v>
      </c>
      <c r="I40" s="680">
        <v>0</v>
      </c>
      <c r="J40" s="679">
        <v>94</v>
      </c>
      <c r="K40" s="680">
        <v>0</v>
      </c>
      <c r="L40" s="679">
        <v>165</v>
      </c>
      <c r="M40" s="680">
        <v>0</v>
      </c>
      <c r="N40" s="679">
        <v>248</v>
      </c>
      <c r="O40" s="680">
        <v>60</v>
      </c>
      <c r="P40" s="76">
        <f t="shared" si="13"/>
        <v>60</v>
      </c>
      <c r="Q40" s="77"/>
      <c r="R40" s="78">
        <f t="shared" si="14"/>
        <v>494</v>
      </c>
      <c r="S40" s="87">
        <f t="shared" si="15"/>
        <v>30</v>
      </c>
      <c r="T40" s="78">
        <f t="shared" si="16"/>
        <v>68</v>
      </c>
      <c r="U40" s="87">
        <f t="shared" si="17"/>
        <v>19</v>
      </c>
      <c r="V40" s="78">
        <f t="shared" si="10"/>
        <v>94</v>
      </c>
      <c r="W40" s="87">
        <f t="shared" si="18"/>
        <v>23</v>
      </c>
      <c r="X40" s="78">
        <f t="shared" si="11"/>
        <v>165</v>
      </c>
      <c r="Y40" s="87">
        <f t="shared" si="19"/>
        <v>8</v>
      </c>
      <c r="Z40" s="78">
        <f t="shared" si="12"/>
        <v>248</v>
      </c>
      <c r="AA40" s="87">
        <f t="shared" si="20"/>
        <v>18</v>
      </c>
      <c r="AB40" s="80">
        <f t="shared" si="21"/>
        <v>1069</v>
      </c>
      <c r="AC40" s="87">
        <f t="shared" si="22"/>
        <v>14</v>
      </c>
      <c r="AD40" s="731">
        <f>SUM(AB40:AB43)</f>
        <v>3402</v>
      </c>
      <c r="AE40" s="740">
        <f>IF(AD40="","",RANK(AD40,$AD$4:$AD$91))</f>
        <v>8</v>
      </c>
      <c r="AF40" s="738">
        <f>P40+P41+P42+P43</f>
        <v>660</v>
      </c>
    </row>
    <row r="41" spans="1:32" ht="13.5" customHeight="1">
      <c r="A41" s="81" t="s">
        <v>162</v>
      </c>
      <c r="B41" s="82">
        <v>102</v>
      </c>
      <c r="C41" s="102">
        <f>IF(B41="","",VLOOKUP(B41,Nevezés!$C$2:$G$81,4,FALSE))</f>
        <v>2</v>
      </c>
      <c r="D41" s="103" t="str">
        <f>IF(B41="","",VLOOKUP(B41,Nevezés!$C$2:$G$89,5,FALSE))</f>
        <v>Rácz Csaba</v>
      </c>
      <c r="E41" s="104" t="str">
        <f>IF(B41="","",VLOOKUP(B41,Nevezés!$C$2:$G$81,2,FALSE))</f>
        <v>Csongrád MKI</v>
      </c>
      <c r="F41" s="679">
        <v>423</v>
      </c>
      <c r="G41" s="680">
        <v>20</v>
      </c>
      <c r="H41" s="679">
        <v>0</v>
      </c>
      <c r="I41" s="680">
        <v>20</v>
      </c>
      <c r="J41" s="679">
        <v>0</v>
      </c>
      <c r="K41" s="680">
        <v>70</v>
      </c>
      <c r="L41" s="679">
        <v>103</v>
      </c>
      <c r="M41" s="680">
        <v>0</v>
      </c>
      <c r="N41" s="679">
        <v>188</v>
      </c>
      <c r="O41" s="680">
        <v>120</v>
      </c>
      <c r="P41" s="76">
        <f t="shared" si="13"/>
        <v>230</v>
      </c>
      <c r="Q41" s="77"/>
      <c r="R41" s="86">
        <f t="shared" si="14"/>
        <v>423</v>
      </c>
      <c r="S41" s="87">
        <f t="shared" si="15"/>
        <v>48</v>
      </c>
      <c r="T41" s="86">
        <f t="shared" si="16"/>
        <v>0</v>
      </c>
      <c r="U41" s="87">
        <f t="shared" si="17"/>
        <v>45</v>
      </c>
      <c r="V41" s="86">
        <f aca="true" t="shared" si="23" ref="V41:V72">IF(J41=0,0,IF(SUM(J41)&gt;0,MAX(J41),""))</f>
        <v>0</v>
      </c>
      <c r="W41" s="87">
        <f t="shared" si="18"/>
        <v>46</v>
      </c>
      <c r="X41" s="86">
        <f aca="true" t="shared" si="24" ref="X41:X72">IF(L41=0,0,IF(SUM(L41)&gt;0,MAX(L41),""))</f>
        <v>103</v>
      </c>
      <c r="Y41" s="87">
        <f t="shared" si="19"/>
        <v>29</v>
      </c>
      <c r="Z41" s="86">
        <f aca="true" t="shared" si="25" ref="Z41:Z72">IF(N41=0,0,IF(SUM(N41)&gt;0,MAX(N41),""))</f>
        <v>188</v>
      </c>
      <c r="AA41" s="87">
        <f t="shared" si="20"/>
        <v>29</v>
      </c>
      <c r="AB41" s="88">
        <f t="shared" si="21"/>
        <v>714</v>
      </c>
      <c r="AC41" s="87">
        <f t="shared" si="22"/>
        <v>45</v>
      </c>
      <c r="AD41" s="732"/>
      <c r="AE41" s="723"/>
      <c r="AF41" s="739"/>
    </row>
    <row r="42" spans="1:32" ht="13.5" customHeight="1">
      <c r="A42" s="89" t="s">
        <v>162</v>
      </c>
      <c r="B42" s="90">
        <v>103</v>
      </c>
      <c r="C42" s="105">
        <f>IF(B42="","",VLOOKUP(B42,Nevezés!$C$2:$G$81,4,FALSE))</f>
        <v>3</v>
      </c>
      <c r="D42" s="103" t="str">
        <f>IF(B42="","",VLOOKUP(B42,Nevezés!$C$2:$G$89,5,FALSE))</f>
        <v>Joó Rudolf</v>
      </c>
      <c r="E42" s="106" t="str">
        <f>IF(B42="","",VLOOKUP(B42,Nevezés!$C$2:$G$81,2,FALSE))</f>
        <v>Csongrád MKI</v>
      </c>
      <c r="F42" s="679">
        <v>489</v>
      </c>
      <c r="G42" s="680">
        <v>0</v>
      </c>
      <c r="H42" s="679">
        <v>57</v>
      </c>
      <c r="I42" s="680">
        <v>0</v>
      </c>
      <c r="J42" s="679">
        <v>0</v>
      </c>
      <c r="K42" s="680">
        <v>50</v>
      </c>
      <c r="L42" s="679">
        <v>85</v>
      </c>
      <c r="M42" s="680">
        <v>0</v>
      </c>
      <c r="N42" s="679">
        <v>204</v>
      </c>
      <c r="O42" s="680">
        <v>100</v>
      </c>
      <c r="P42" s="76">
        <f t="shared" si="13"/>
        <v>150</v>
      </c>
      <c r="Q42" s="77"/>
      <c r="R42" s="86">
        <f t="shared" si="14"/>
        <v>489</v>
      </c>
      <c r="S42" s="87">
        <f t="shared" si="15"/>
        <v>32</v>
      </c>
      <c r="T42" s="86">
        <f t="shared" si="16"/>
        <v>57</v>
      </c>
      <c r="U42" s="87">
        <f t="shared" si="17"/>
        <v>24</v>
      </c>
      <c r="V42" s="86">
        <f t="shared" si="23"/>
        <v>0</v>
      </c>
      <c r="W42" s="87">
        <f t="shared" si="18"/>
        <v>46</v>
      </c>
      <c r="X42" s="86">
        <f t="shared" si="24"/>
        <v>85</v>
      </c>
      <c r="Y42" s="87">
        <f t="shared" si="19"/>
        <v>35</v>
      </c>
      <c r="Z42" s="86">
        <f t="shared" si="25"/>
        <v>204</v>
      </c>
      <c r="AA42" s="87">
        <f t="shared" si="20"/>
        <v>24</v>
      </c>
      <c r="AB42" s="88">
        <f t="shared" si="21"/>
        <v>835</v>
      </c>
      <c r="AC42" s="87">
        <f t="shared" si="22"/>
        <v>35</v>
      </c>
      <c r="AD42" s="732"/>
      <c r="AE42" s="724"/>
      <c r="AF42" s="739"/>
    </row>
    <row r="43" spans="1:32" ht="13.5" customHeight="1">
      <c r="A43" s="93" t="s">
        <v>162</v>
      </c>
      <c r="B43" s="94">
        <v>104</v>
      </c>
      <c r="C43" s="107">
        <f>IF(B43="","",VLOOKUP(B43,Nevezés!$C$2:$G$81,4,FALSE))</f>
        <v>4</v>
      </c>
      <c r="D43" s="103" t="str">
        <f>IF(B43="","",VLOOKUP(B43,Nevezés!$C$2:$G$89,5,FALSE))</f>
        <v>Nagy Zoltán</v>
      </c>
      <c r="E43" s="108" t="str">
        <f>IF(B43="","",VLOOKUP(B43,Nevezés!$C$2:$G$81,2,FALSE))</f>
        <v>Csongrád MKI</v>
      </c>
      <c r="F43" s="679">
        <v>515</v>
      </c>
      <c r="G43" s="680">
        <v>0</v>
      </c>
      <c r="H43" s="679">
        <v>19</v>
      </c>
      <c r="I43" s="680">
        <v>0</v>
      </c>
      <c r="J43" s="679">
        <v>0</v>
      </c>
      <c r="K43" s="680">
        <v>100</v>
      </c>
      <c r="L43" s="679">
        <v>74</v>
      </c>
      <c r="M43" s="680">
        <v>0</v>
      </c>
      <c r="N43" s="679">
        <v>176</v>
      </c>
      <c r="O43" s="680">
        <v>120</v>
      </c>
      <c r="P43" s="76">
        <f t="shared" si="13"/>
        <v>220</v>
      </c>
      <c r="Q43" s="77"/>
      <c r="R43" s="97">
        <f t="shared" si="14"/>
        <v>515</v>
      </c>
      <c r="S43" s="87">
        <f t="shared" si="15"/>
        <v>25</v>
      </c>
      <c r="T43" s="97">
        <f t="shared" si="16"/>
        <v>19</v>
      </c>
      <c r="U43" s="87">
        <f t="shared" si="17"/>
        <v>39</v>
      </c>
      <c r="V43" s="97">
        <f t="shared" si="23"/>
        <v>0</v>
      </c>
      <c r="W43" s="87">
        <f t="shared" si="18"/>
        <v>46</v>
      </c>
      <c r="X43" s="97">
        <f t="shared" si="24"/>
        <v>74</v>
      </c>
      <c r="Y43" s="87">
        <f t="shared" si="19"/>
        <v>41</v>
      </c>
      <c r="Z43" s="97">
        <f t="shared" si="25"/>
        <v>176</v>
      </c>
      <c r="AA43" s="87">
        <f t="shared" si="20"/>
        <v>34</v>
      </c>
      <c r="AB43" s="98">
        <f t="shared" si="21"/>
        <v>784</v>
      </c>
      <c r="AC43" s="87">
        <f t="shared" si="22"/>
        <v>38</v>
      </c>
      <c r="AD43" s="733"/>
      <c r="AE43" s="725"/>
      <c r="AF43" s="739"/>
    </row>
    <row r="44" spans="1:32" ht="13.5" customHeight="1">
      <c r="A44" s="71" t="s">
        <v>163</v>
      </c>
      <c r="B44" s="72">
        <v>111</v>
      </c>
      <c r="C44" s="99">
        <f>IF(B44="","",VLOOKUP(B44,Nevezés!$C$2:$G$81,4,FALSE))</f>
        <v>1</v>
      </c>
      <c r="D44" s="100" t="str">
        <f>IF(B44="","",VLOOKUP(B44,Nevezés!$C$2:$G$89,5,FALSE))</f>
        <v>Koncz Miklós</v>
      </c>
      <c r="E44" s="101" t="str">
        <f>IF(B44="","",VLOOKUP(B44,Nevezés!$C$2:$G$81,2,FALSE))</f>
        <v>Tiszafüred HTP</v>
      </c>
      <c r="F44" s="681">
        <v>420</v>
      </c>
      <c r="G44" s="682">
        <v>0</v>
      </c>
      <c r="H44" s="681">
        <v>77</v>
      </c>
      <c r="I44" s="682">
        <v>0</v>
      </c>
      <c r="J44" s="681">
        <v>45</v>
      </c>
      <c r="K44" s="682">
        <v>50</v>
      </c>
      <c r="L44" s="681">
        <v>215</v>
      </c>
      <c r="M44" s="682">
        <v>0</v>
      </c>
      <c r="N44" s="681">
        <v>184</v>
      </c>
      <c r="O44" s="682">
        <v>100</v>
      </c>
      <c r="P44" s="76">
        <f t="shared" si="13"/>
        <v>150</v>
      </c>
      <c r="Q44" s="77"/>
      <c r="R44" s="78">
        <f t="shared" si="14"/>
        <v>420</v>
      </c>
      <c r="S44" s="87">
        <f t="shared" si="15"/>
        <v>49</v>
      </c>
      <c r="T44" s="78">
        <f t="shared" si="16"/>
        <v>77</v>
      </c>
      <c r="U44" s="87">
        <f t="shared" si="17"/>
        <v>16</v>
      </c>
      <c r="V44" s="78">
        <f t="shared" si="23"/>
        <v>45</v>
      </c>
      <c r="W44" s="87">
        <f t="shared" si="18"/>
        <v>37</v>
      </c>
      <c r="X44" s="78">
        <f t="shared" si="24"/>
        <v>215</v>
      </c>
      <c r="Y44" s="87">
        <f t="shared" si="19"/>
        <v>1</v>
      </c>
      <c r="Z44" s="78">
        <f t="shared" si="25"/>
        <v>184</v>
      </c>
      <c r="AA44" s="87">
        <f t="shared" si="20"/>
        <v>30</v>
      </c>
      <c r="AB44" s="80">
        <f t="shared" si="21"/>
        <v>941</v>
      </c>
      <c r="AC44" s="87">
        <f t="shared" si="22"/>
        <v>25</v>
      </c>
      <c r="AD44" s="726">
        <f>SUM(AB44:AB47)</f>
        <v>1856</v>
      </c>
      <c r="AE44" s="740">
        <f>IF(AD44="","",RANK(AD44,$AD$4:$AD$91))</f>
        <v>15</v>
      </c>
      <c r="AF44" s="738">
        <f>P44+P45+P46+P47</f>
        <v>230</v>
      </c>
    </row>
    <row r="45" spans="1:32" ht="13.5" customHeight="1">
      <c r="A45" s="81" t="s">
        <v>163</v>
      </c>
      <c r="B45" s="82">
        <v>112</v>
      </c>
      <c r="C45" s="102">
        <f>IF(B45="","",VLOOKUP(B45,Nevezés!$C$2:$G$81,4,FALSE))</f>
        <v>2</v>
      </c>
      <c r="D45" s="103" t="str">
        <f>IF(B45="","",VLOOKUP(B45,Nevezés!$C$2:$G$89,5,FALSE))</f>
        <v>Nagy Balázs</v>
      </c>
      <c r="E45" s="104" t="str">
        <f>IF(B45="","",VLOOKUP(B45,Nevezés!$C$2:$G$81,2,FALSE))</f>
        <v>Tiszafüred HTP</v>
      </c>
      <c r="F45" s="681">
        <v>431</v>
      </c>
      <c r="G45" s="682">
        <v>0</v>
      </c>
      <c r="H45" s="681">
        <v>42</v>
      </c>
      <c r="I45" s="682">
        <v>0</v>
      </c>
      <c r="J45" s="681">
        <v>128</v>
      </c>
      <c r="K45" s="682">
        <v>0</v>
      </c>
      <c r="L45" s="681">
        <v>134</v>
      </c>
      <c r="M45" s="682">
        <v>0</v>
      </c>
      <c r="N45" s="681">
        <v>180</v>
      </c>
      <c r="O45" s="682">
        <v>80</v>
      </c>
      <c r="P45" s="76">
        <f t="shared" si="13"/>
        <v>80</v>
      </c>
      <c r="Q45" s="77"/>
      <c r="R45" s="86">
        <f t="shared" si="14"/>
        <v>431</v>
      </c>
      <c r="S45" s="87">
        <f t="shared" si="15"/>
        <v>47</v>
      </c>
      <c r="T45" s="86">
        <f t="shared" si="16"/>
        <v>42</v>
      </c>
      <c r="U45" s="87">
        <f t="shared" si="17"/>
        <v>32</v>
      </c>
      <c r="V45" s="86">
        <f t="shared" si="23"/>
        <v>128</v>
      </c>
      <c r="W45" s="87">
        <f t="shared" si="18"/>
        <v>13</v>
      </c>
      <c r="X45" s="86">
        <f t="shared" si="24"/>
        <v>134</v>
      </c>
      <c r="Y45" s="87">
        <f t="shared" si="19"/>
        <v>17</v>
      </c>
      <c r="Z45" s="86">
        <f t="shared" si="25"/>
        <v>180</v>
      </c>
      <c r="AA45" s="87">
        <f t="shared" si="20"/>
        <v>32</v>
      </c>
      <c r="AB45" s="88">
        <f t="shared" si="21"/>
        <v>915</v>
      </c>
      <c r="AC45" s="87">
        <f t="shared" si="22"/>
        <v>28</v>
      </c>
      <c r="AD45" s="726"/>
      <c r="AE45" s="740"/>
      <c r="AF45" s="739"/>
    </row>
    <row r="46" spans="1:32" ht="13.5" customHeight="1">
      <c r="A46" s="89" t="s">
        <v>163</v>
      </c>
      <c r="B46" s="90">
        <v>113</v>
      </c>
      <c r="C46" s="105" t="e">
        <f>IF(B46="","",VLOOKUP(B46,Nevezés!$C$2:$G$81,4,FALSE))</f>
        <v>#N/A</v>
      </c>
      <c r="D46" s="103" t="e">
        <f>IF(B46="","",VLOOKUP(B46,Nevezés!$C$2:$G$89,5,FALSE))</f>
        <v>#N/A</v>
      </c>
      <c r="E46" s="106" t="e">
        <f>IF(B46="","",VLOOKUP(B46,Nevezés!$C$2:$G$81,2,FALSE))</f>
        <v>#N/A</v>
      </c>
      <c r="F46" s="681"/>
      <c r="G46" s="682"/>
      <c r="H46" s="681"/>
      <c r="I46" s="682"/>
      <c r="J46" s="681"/>
      <c r="K46" s="682"/>
      <c r="L46" s="681"/>
      <c r="M46" s="682"/>
      <c r="N46" s="681"/>
      <c r="O46" s="682"/>
      <c r="P46" s="76">
        <f t="shared" si="13"/>
        <v>0</v>
      </c>
      <c r="Q46" s="77"/>
      <c r="R46" s="86">
        <f t="shared" si="14"/>
        <v>0</v>
      </c>
      <c r="S46" s="87">
        <f t="shared" si="15"/>
        <v>61</v>
      </c>
      <c r="T46" s="86">
        <f t="shared" si="16"/>
        <v>0</v>
      </c>
      <c r="U46" s="87">
        <f t="shared" si="17"/>
        <v>45</v>
      </c>
      <c r="V46" s="86">
        <f t="shared" si="23"/>
        <v>0</v>
      </c>
      <c r="W46" s="87">
        <f t="shared" si="18"/>
        <v>46</v>
      </c>
      <c r="X46" s="86">
        <f t="shared" si="24"/>
        <v>0</v>
      </c>
      <c r="Y46" s="87">
        <f t="shared" si="19"/>
        <v>58</v>
      </c>
      <c r="Z46" s="86">
        <f t="shared" si="25"/>
        <v>0</v>
      </c>
      <c r="AA46" s="87">
        <f t="shared" si="20"/>
        <v>56</v>
      </c>
      <c r="AB46" s="88">
        <f t="shared" si="21"/>
        <v>0</v>
      </c>
      <c r="AC46" s="87">
        <f t="shared" si="22"/>
        <v>61</v>
      </c>
      <c r="AD46" s="726"/>
      <c r="AE46" s="740"/>
      <c r="AF46" s="739"/>
    </row>
    <row r="47" spans="1:32" ht="13.5" customHeight="1">
      <c r="A47" s="93" t="s">
        <v>163</v>
      </c>
      <c r="B47" s="94">
        <v>114</v>
      </c>
      <c r="C47" s="107" t="e">
        <f>IF(B47="","",VLOOKUP(B47,Nevezés!$C$2:$G$81,4,FALSE))</f>
        <v>#N/A</v>
      </c>
      <c r="D47" s="103" t="e">
        <f>IF(B47="","",VLOOKUP(B47,Nevezés!$C$2:$G$89,5,FALSE))</f>
        <v>#N/A</v>
      </c>
      <c r="E47" s="108" t="e">
        <f>IF(B47="","",VLOOKUP(B47,Nevezés!$C$2:$G$81,2,FALSE))</f>
        <v>#N/A</v>
      </c>
      <c r="F47" s="681"/>
      <c r="G47" s="682"/>
      <c r="H47" s="681"/>
      <c r="I47" s="682"/>
      <c r="J47" s="681"/>
      <c r="K47" s="682"/>
      <c r="L47" s="681"/>
      <c r="M47" s="682"/>
      <c r="N47" s="681"/>
      <c r="O47" s="682"/>
      <c r="P47" s="76">
        <f t="shared" si="13"/>
        <v>0</v>
      </c>
      <c r="Q47" s="77"/>
      <c r="R47" s="97">
        <f t="shared" si="14"/>
        <v>0</v>
      </c>
      <c r="S47" s="87">
        <f t="shared" si="15"/>
        <v>61</v>
      </c>
      <c r="T47" s="97">
        <f t="shared" si="16"/>
        <v>0</v>
      </c>
      <c r="U47" s="87">
        <f t="shared" si="17"/>
        <v>45</v>
      </c>
      <c r="V47" s="97">
        <f t="shared" si="23"/>
        <v>0</v>
      </c>
      <c r="W47" s="87">
        <f t="shared" si="18"/>
        <v>46</v>
      </c>
      <c r="X47" s="97">
        <f t="shared" si="24"/>
        <v>0</v>
      </c>
      <c r="Y47" s="87">
        <f t="shared" si="19"/>
        <v>58</v>
      </c>
      <c r="Z47" s="97">
        <f t="shared" si="25"/>
        <v>0</v>
      </c>
      <c r="AA47" s="87">
        <f t="shared" si="20"/>
        <v>56</v>
      </c>
      <c r="AB47" s="98">
        <f t="shared" si="21"/>
        <v>0</v>
      </c>
      <c r="AC47" s="87">
        <f t="shared" si="22"/>
        <v>61</v>
      </c>
      <c r="AD47" s="726"/>
      <c r="AE47" s="740"/>
      <c r="AF47" s="739"/>
    </row>
    <row r="48" spans="1:32" ht="13.5" customHeight="1">
      <c r="A48" s="71" t="s">
        <v>164</v>
      </c>
      <c r="B48" s="72">
        <v>121</v>
      </c>
      <c r="C48" s="99">
        <f>IF(B48="","",VLOOKUP(B48,Nevezés!$C$2:$G$81,4,FALSE))</f>
        <v>1</v>
      </c>
      <c r="D48" s="100" t="str">
        <f>IF(B48="","",VLOOKUP(B48,Nevezés!$C$2:$G$89,5,FALSE))</f>
        <v>Bicskó Csaba</v>
      </c>
      <c r="E48" s="101" t="str">
        <f>IF(B48="","",VLOOKUP(B48,Nevezés!$C$2:$G$81,2,FALSE))</f>
        <v>Mátészalka HTP</v>
      </c>
      <c r="F48" s="679">
        <v>512</v>
      </c>
      <c r="G48" s="680">
        <v>30</v>
      </c>
      <c r="H48" s="679">
        <v>34</v>
      </c>
      <c r="I48" s="680">
        <v>0</v>
      </c>
      <c r="J48" s="679">
        <v>0</v>
      </c>
      <c r="K48" s="680">
        <v>210</v>
      </c>
      <c r="L48" s="679">
        <v>85</v>
      </c>
      <c r="M48" s="680">
        <v>0</v>
      </c>
      <c r="N48" s="679">
        <v>124</v>
      </c>
      <c r="O48" s="680">
        <v>220</v>
      </c>
      <c r="P48" s="76">
        <f t="shared" si="13"/>
        <v>460</v>
      </c>
      <c r="Q48" s="77"/>
      <c r="R48" s="78">
        <f t="shared" si="14"/>
        <v>512</v>
      </c>
      <c r="S48" s="87">
        <f t="shared" si="15"/>
        <v>27</v>
      </c>
      <c r="T48" s="78">
        <f t="shared" si="16"/>
        <v>34</v>
      </c>
      <c r="U48" s="87">
        <f t="shared" si="17"/>
        <v>36</v>
      </c>
      <c r="V48" s="78">
        <f t="shared" si="23"/>
        <v>0</v>
      </c>
      <c r="W48" s="87">
        <f t="shared" si="18"/>
        <v>46</v>
      </c>
      <c r="X48" s="78">
        <f t="shared" si="24"/>
        <v>85</v>
      </c>
      <c r="Y48" s="87">
        <f t="shared" si="19"/>
        <v>35</v>
      </c>
      <c r="Z48" s="78">
        <f t="shared" si="25"/>
        <v>124</v>
      </c>
      <c r="AA48" s="87">
        <f t="shared" si="20"/>
        <v>44</v>
      </c>
      <c r="AB48" s="80">
        <f t="shared" si="21"/>
        <v>755</v>
      </c>
      <c r="AC48" s="87">
        <f t="shared" si="22"/>
        <v>43</v>
      </c>
      <c r="AD48" s="731">
        <f>SUM(AB48:AB51)</f>
        <v>2568</v>
      </c>
      <c r="AE48" s="740">
        <f>IF(AD48="","",RANK(AD48,$AD$4:$AD$91))</f>
        <v>14</v>
      </c>
      <c r="AF48" s="738">
        <f>P48+P49+P50+P51</f>
        <v>1635</v>
      </c>
    </row>
    <row r="49" spans="1:32" ht="13.5" customHeight="1">
      <c r="A49" s="81" t="s">
        <v>164</v>
      </c>
      <c r="B49" s="82">
        <v>122</v>
      </c>
      <c r="C49" s="102">
        <f>IF(B49="","",VLOOKUP(B49,Nevezés!$C$2:$G$81,4,FALSE))</f>
        <v>2</v>
      </c>
      <c r="D49" s="103" t="str">
        <f>IF(B49="","",VLOOKUP(B49,Nevezés!$C$2:$G$89,5,FALSE))</f>
        <v>Jurkinya Sándor</v>
      </c>
      <c r="E49" s="104" t="str">
        <f>IF(B49="","",VLOOKUP(B49,Nevezés!$C$2:$G$81,2,FALSE))</f>
        <v>Mátészalka HTP</v>
      </c>
      <c r="F49" s="679">
        <v>456</v>
      </c>
      <c r="G49" s="680">
        <v>0</v>
      </c>
      <c r="H49" s="679">
        <v>13</v>
      </c>
      <c r="I49" s="680">
        <v>50</v>
      </c>
      <c r="J49" s="679">
        <v>94</v>
      </c>
      <c r="K49" s="680">
        <v>0</v>
      </c>
      <c r="L49" s="679">
        <v>83</v>
      </c>
      <c r="M49" s="680">
        <v>80</v>
      </c>
      <c r="N49" s="679">
        <v>40</v>
      </c>
      <c r="O49" s="680">
        <v>280</v>
      </c>
      <c r="P49" s="76">
        <f t="shared" si="13"/>
        <v>410</v>
      </c>
      <c r="Q49" s="77"/>
      <c r="R49" s="86">
        <f t="shared" si="14"/>
        <v>456</v>
      </c>
      <c r="S49" s="87">
        <f t="shared" si="15"/>
        <v>43</v>
      </c>
      <c r="T49" s="86">
        <f t="shared" si="16"/>
        <v>13</v>
      </c>
      <c r="U49" s="87">
        <f t="shared" si="17"/>
        <v>41</v>
      </c>
      <c r="V49" s="86">
        <f t="shared" si="23"/>
        <v>94</v>
      </c>
      <c r="W49" s="87">
        <f t="shared" si="18"/>
        <v>23</v>
      </c>
      <c r="X49" s="86">
        <f t="shared" si="24"/>
        <v>83</v>
      </c>
      <c r="Y49" s="87">
        <f t="shared" si="19"/>
        <v>38</v>
      </c>
      <c r="Z49" s="86">
        <f t="shared" si="25"/>
        <v>40</v>
      </c>
      <c r="AA49" s="87">
        <f t="shared" si="20"/>
        <v>52</v>
      </c>
      <c r="AB49" s="88">
        <f t="shared" si="21"/>
        <v>686</v>
      </c>
      <c r="AC49" s="87">
        <f t="shared" si="22"/>
        <v>48</v>
      </c>
      <c r="AD49" s="732"/>
      <c r="AE49" s="740"/>
      <c r="AF49" s="739"/>
    </row>
    <row r="50" spans="1:32" ht="13.5" customHeight="1">
      <c r="A50" s="89" t="s">
        <v>164</v>
      </c>
      <c r="B50" s="90">
        <v>123</v>
      </c>
      <c r="C50" s="105">
        <f>IF(B50="","",VLOOKUP(B50,Nevezés!$C$2:$G$81,4,FALSE))</f>
        <v>3</v>
      </c>
      <c r="D50" s="103" t="str">
        <f>IF(B50="","",VLOOKUP(B50,Nevezés!$C$2:$G$89,5,FALSE))</f>
        <v>Horváth Tibor</v>
      </c>
      <c r="E50" s="106" t="str">
        <f>IF(B50="","",VLOOKUP(B50,Nevezés!$C$2:$G$81,2,FALSE))</f>
        <v>Mátészalka HTP</v>
      </c>
      <c r="F50" s="679">
        <v>252</v>
      </c>
      <c r="G50" s="680">
        <v>20</v>
      </c>
      <c r="H50" s="679">
        <v>0</v>
      </c>
      <c r="I50" s="680">
        <v>0</v>
      </c>
      <c r="J50" s="679">
        <v>133</v>
      </c>
      <c r="K50" s="680">
        <v>0</v>
      </c>
      <c r="L50" s="679">
        <v>112</v>
      </c>
      <c r="M50" s="680">
        <v>45</v>
      </c>
      <c r="N50" s="679">
        <v>32</v>
      </c>
      <c r="O50" s="680">
        <v>280</v>
      </c>
      <c r="P50" s="76">
        <f t="shared" si="13"/>
        <v>345</v>
      </c>
      <c r="Q50" s="77"/>
      <c r="R50" s="86">
        <f t="shared" si="14"/>
        <v>252</v>
      </c>
      <c r="S50" s="87">
        <f t="shared" si="15"/>
        <v>59</v>
      </c>
      <c r="T50" s="86">
        <f t="shared" si="16"/>
        <v>0</v>
      </c>
      <c r="U50" s="87">
        <f t="shared" si="17"/>
        <v>45</v>
      </c>
      <c r="V50" s="86">
        <f t="shared" si="23"/>
        <v>133</v>
      </c>
      <c r="W50" s="87">
        <f t="shared" si="18"/>
        <v>11</v>
      </c>
      <c r="X50" s="86">
        <f t="shared" si="24"/>
        <v>112</v>
      </c>
      <c r="Y50" s="87">
        <f t="shared" si="19"/>
        <v>26</v>
      </c>
      <c r="Z50" s="86">
        <f t="shared" si="25"/>
        <v>32</v>
      </c>
      <c r="AA50" s="87">
        <f t="shared" si="20"/>
        <v>53</v>
      </c>
      <c r="AB50" s="88">
        <f t="shared" si="21"/>
        <v>529</v>
      </c>
      <c r="AC50" s="87">
        <f t="shared" si="22"/>
        <v>58</v>
      </c>
      <c r="AD50" s="732"/>
      <c r="AE50" s="740"/>
      <c r="AF50" s="739"/>
    </row>
    <row r="51" spans="1:32" ht="13.5" customHeight="1">
      <c r="A51" s="93" t="s">
        <v>164</v>
      </c>
      <c r="B51" s="94">
        <v>124</v>
      </c>
      <c r="C51" s="107">
        <f>IF(B51="","",VLOOKUP(B51,Nevezés!$C$2:$G$81,4,FALSE))</f>
        <v>4</v>
      </c>
      <c r="D51" s="103" t="str">
        <f>IF(B51="","",VLOOKUP(B51,Nevezés!$C$2:$G$89,5,FALSE))</f>
        <v>Antal Zoltán</v>
      </c>
      <c r="E51" s="108" t="str">
        <f>IF(B51="","",VLOOKUP(B51,Nevezés!$C$2:$G$81,2,FALSE))</f>
        <v>Mátészalka HTP</v>
      </c>
      <c r="F51" s="679">
        <v>410</v>
      </c>
      <c r="G51" s="680">
        <v>40</v>
      </c>
      <c r="H51" s="679">
        <v>44</v>
      </c>
      <c r="I51" s="680">
        <v>0</v>
      </c>
      <c r="J51" s="679">
        <v>81</v>
      </c>
      <c r="K51" s="680">
        <v>0</v>
      </c>
      <c r="L51" s="679">
        <v>63</v>
      </c>
      <c r="M51" s="680">
        <v>0</v>
      </c>
      <c r="N51" s="679">
        <v>0</v>
      </c>
      <c r="O51" s="680">
        <v>380</v>
      </c>
      <c r="P51" s="76">
        <f t="shared" si="13"/>
        <v>420</v>
      </c>
      <c r="Q51" s="77"/>
      <c r="R51" s="97">
        <f t="shared" si="14"/>
        <v>410</v>
      </c>
      <c r="S51" s="87">
        <f t="shared" si="15"/>
        <v>51</v>
      </c>
      <c r="T51" s="97">
        <f t="shared" si="16"/>
        <v>44</v>
      </c>
      <c r="U51" s="87">
        <f t="shared" si="17"/>
        <v>30</v>
      </c>
      <c r="V51" s="97">
        <f t="shared" si="23"/>
        <v>81</v>
      </c>
      <c r="W51" s="87">
        <f t="shared" si="18"/>
        <v>30</v>
      </c>
      <c r="X51" s="97">
        <f t="shared" si="24"/>
        <v>63</v>
      </c>
      <c r="Y51" s="87">
        <f t="shared" si="19"/>
        <v>47</v>
      </c>
      <c r="Z51" s="97">
        <f t="shared" si="25"/>
        <v>0</v>
      </c>
      <c r="AA51" s="87">
        <f t="shared" si="20"/>
        <v>56</v>
      </c>
      <c r="AB51" s="98">
        <f t="shared" si="21"/>
        <v>598</v>
      </c>
      <c r="AC51" s="87">
        <f t="shared" si="22"/>
        <v>52</v>
      </c>
      <c r="AD51" s="733"/>
      <c r="AE51" s="740"/>
      <c r="AF51" s="739"/>
    </row>
    <row r="52" spans="1:32" ht="13.5" customHeight="1">
      <c r="A52" s="71" t="s">
        <v>165</v>
      </c>
      <c r="B52" s="72">
        <v>131</v>
      </c>
      <c r="C52" s="99">
        <f>IF(B52="","",VLOOKUP(B52,Nevezés!$C$2:$G$81,4,FALSE))</f>
        <v>1</v>
      </c>
      <c r="D52" s="100" t="str">
        <f>IF(B52="","",VLOOKUP(B52,Nevezés!$C$2:$G$89,5,FALSE))</f>
        <v>Alberti Tamás</v>
      </c>
      <c r="E52" s="101" t="str">
        <f>IF(B52="","",VLOOKUP(B52,Nevezés!$C$2:$G$81,2,FALSE))</f>
        <v>Miskolc HTP</v>
      </c>
      <c r="F52" s="679">
        <v>603</v>
      </c>
      <c r="G52" s="680">
        <v>0</v>
      </c>
      <c r="H52" s="679">
        <v>75</v>
      </c>
      <c r="I52" s="680">
        <v>0</v>
      </c>
      <c r="J52" s="679">
        <v>168</v>
      </c>
      <c r="K52" s="680">
        <v>0</v>
      </c>
      <c r="L52" s="679">
        <v>139</v>
      </c>
      <c r="M52" s="680">
        <v>80</v>
      </c>
      <c r="N52" s="679">
        <v>354</v>
      </c>
      <c r="O52" s="680">
        <v>0</v>
      </c>
      <c r="P52" s="76">
        <f t="shared" si="13"/>
        <v>80</v>
      </c>
      <c r="Q52" s="77"/>
      <c r="R52" s="78">
        <f t="shared" si="14"/>
        <v>603</v>
      </c>
      <c r="S52" s="87">
        <f t="shared" si="15"/>
        <v>12</v>
      </c>
      <c r="T52" s="78">
        <f t="shared" si="16"/>
        <v>75</v>
      </c>
      <c r="U52" s="87">
        <f t="shared" si="17"/>
        <v>17</v>
      </c>
      <c r="V52" s="78">
        <f t="shared" si="23"/>
        <v>168</v>
      </c>
      <c r="W52" s="87">
        <f t="shared" si="18"/>
        <v>4</v>
      </c>
      <c r="X52" s="78">
        <f t="shared" si="24"/>
        <v>139</v>
      </c>
      <c r="Y52" s="87">
        <f t="shared" si="19"/>
        <v>14</v>
      </c>
      <c r="Z52" s="78">
        <f t="shared" si="25"/>
        <v>354</v>
      </c>
      <c r="AA52" s="87">
        <f t="shared" si="20"/>
        <v>4</v>
      </c>
      <c r="AB52" s="80">
        <f t="shared" si="21"/>
        <v>1339</v>
      </c>
      <c r="AC52" s="87">
        <f t="shared" si="22"/>
        <v>5</v>
      </c>
      <c r="AD52" s="726">
        <f>SUM(AB52:AB55)</f>
        <v>4719</v>
      </c>
      <c r="AE52" s="740">
        <f>IF(AD52="","",RANK(AD52,$AD$4:$AD$91))</f>
        <v>2</v>
      </c>
      <c r="AF52" s="738">
        <f>P52+P53+P54+P55</f>
        <v>490</v>
      </c>
    </row>
    <row r="53" spans="1:32" ht="13.5" customHeight="1">
      <c r="A53" s="81" t="s">
        <v>165</v>
      </c>
      <c r="B53" s="82">
        <v>132</v>
      </c>
      <c r="C53" s="102">
        <f>IF(B53="","",VLOOKUP(B53,Nevezés!$C$2:$G$81,4,FALSE))</f>
        <v>2</v>
      </c>
      <c r="D53" s="103" t="str">
        <f>IF(B53="","",VLOOKUP(B53,Nevezés!$C$2:$G$89,5,FALSE))</f>
        <v>Pankotai Zoltán Lajos</v>
      </c>
      <c r="E53" s="104" t="str">
        <f>IF(B53="","",VLOOKUP(B53,Nevezés!$C$2:$G$81,2,FALSE))</f>
        <v>Miskolc HTP</v>
      </c>
      <c r="F53" s="679">
        <v>525</v>
      </c>
      <c r="G53" s="680">
        <v>0</v>
      </c>
      <c r="H53" s="679">
        <v>78</v>
      </c>
      <c r="I53" s="680">
        <v>0</v>
      </c>
      <c r="J53" s="679">
        <v>151</v>
      </c>
      <c r="K53" s="680">
        <v>0</v>
      </c>
      <c r="L53" s="679">
        <v>134</v>
      </c>
      <c r="M53" s="680">
        <v>80</v>
      </c>
      <c r="N53" s="679">
        <v>380</v>
      </c>
      <c r="O53" s="680">
        <v>20</v>
      </c>
      <c r="P53" s="76">
        <f t="shared" si="13"/>
        <v>100</v>
      </c>
      <c r="Q53" s="77"/>
      <c r="R53" s="86">
        <f t="shared" si="14"/>
        <v>525</v>
      </c>
      <c r="S53" s="87">
        <f t="shared" si="15"/>
        <v>23</v>
      </c>
      <c r="T53" s="86">
        <f t="shared" si="16"/>
        <v>78</v>
      </c>
      <c r="U53" s="87">
        <f t="shared" si="17"/>
        <v>15</v>
      </c>
      <c r="V53" s="86">
        <f t="shared" si="23"/>
        <v>151</v>
      </c>
      <c r="W53" s="87">
        <f t="shared" si="18"/>
        <v>8</v>
      </c>
      <c r="X53" s="86">
        <f t="shared" si="24"/>
        <v>134</v>
      </c>
      <c r="Y53" s="87">
        <f t="shared" si="19"/>
        <v>17</v>
      </c>
      <c r="Z53" s="86">
        <f t="shared" si="25"/>
        <v>380</v>
      </c>
      <c r="AA53" s="87">
        <f t="shared" si="20"/>
        <v>1</v>
      </c>
      <c r="AB53" s="88">
        <f t="shared" si="21"/>
        <v>1268</v>
      </c>
      <c r="AC53" s="87">
        <f t="shared" si="22"/>
        <v>6</v>
      </c>
      <c r="AD53" s="726"/>
      <c r="AE53" s="740"/>
      <c r="AF53" s="739"/>
    </row>
    <row r="54" spans="1:32" ht="13.5" customHeight="1">
      <c r="A54" s="89" t="s">
        <v>165</v>
      </c>
      <c r="B54" s="90">
        <v>133</v>
      </c>
      <c r="C54" s="105">
        <f>IF(B54="","",VLOOKUP(B54,Nevezés!$C$2:$G$81,4,FALSE))</f>
        <v>3</v>
      </c>
      <c r="D54" s="103" t="str">
        <f>IF(B54="","",VLOOKUP(B54,Nevezés!$C$2:$G$89,5,FALSE))</f>
        <v>Csati Szabolcs</v>
      </c>
      <c r="E54" s="106" t="str">
        <f>IF(B54="","",VLOOKUP(B54,Nevezés!$C$2:$G$81,2,FALSE))</f>
        <v>Miskolc HTP</v>
      </c>
      <c r="F54" s="679">
        <v>560</v>
      </c>
      <c r="G54" s="680">
        <v>0</v>
      </c>
      <c r="H54" s="679">
        <v>98</v>
      </c>
      <c r="I54" s="680">
        <v>0</v>
      </c>
      <c r="J54" s="679">
        <v>131</v>
      </c>
      <c r="K54" s="680">
        <v>0</v>
      </c>
      <c r="L54" s="679">
        <v>117</v>
      </c>
      <c r="M54" s="680">
        <v>80</v>
      </c>
      <c r="N54" s="679">
        <v>288</v>
      </c>
      <c r="O54" s="680">
        <v>80</v>
      </c>
      <c r="P54" s="76">
        <f t="shared" si="13"/>
        <v>160</v>
      </c>
      <c r="Q54" s="77"/>
      <c r="R54" s="86">
        <f t="shared" si="14"/>
        <v>560</v>
      </c>
      <c r="S54" s="87">
        <f t="shared" si="15"/>
        <v>19</v>
      </c>
      <c r="T54" s="86">
        <f t="shared" si="16"/>
        <v>98</v>
      </c>
      <c r="U54" s="87">
        <f t="shared" si="17"/>
        <v>5</v>
      </c>
      <c r="V54" s="86">
        <f t="shared" si="23"/>
        <v>131</v>
      </c>
      <c r="W54" s="87">
        <f t="shared" si="18"/>
        <v>12</v>
      </c>
      <c r="X54" s="86">
        <f t="shared" si="24"/>
        <v>117</v>
      </c>
      <c r="Y54" s="87">
        <f t="shared" si="19"/>
        <v>23</v>
      </c>
      <c r="Z54" s="86">
        <f t="shared" si="25"/>
        <v>288</v>
      </c>
      <c r="AA54" s="87">
        <f t="shared" si="20"/>
        <v>12</v>
      </c>
      <c r="AB54" s="88">
        <f t="shared" si="21"/>
        <v>1194</v>
      </c>
      <c r="AC54" s="87">
        <f t="shared" si="22"/>
        <v>10</v>
      </c>
      <c r="AD54" s="726"/>
      <c r="AE54" s="740"/>
      <c r="AF54" s="739"/>
    </row>
    <row r="55" spans="1:32" ht="13.5" customHeight="1">
      <c r="A55" s="93" t="s">
        <v>165</v>
      </c>
      <c r="B55" s="94">
        <v>134</v>
      </c>
      <c r="C55" s="107">
        <f>IF(B55="","",VLOOKUP(B55,Nevezés!$C$2:$G$81,4,FALSE))</f>
        <v>4</v>
      </c>
      <c r="D55" s="103" t="str">
        <f>IF(B55="","",VLOOKUP(B55,Nevezés!$C$2:$G$89,5,FALSE))</f>
        <v>Rózsa Béla</v>
      </c>
      <c r="E55" s="108" t="str">
        <f>IF(B55="","",VLOOKUP(B55,Nevezés!$C$2:$G$81,2,FALSE))</f>
        <v>Miskolc HTP</v>
      </c>
      <c r="F55" s="679">
        <v>489</v>
      </c>
      <c r="G55" s="680">
        <v>0</v>
      </c>
      <c r="H55" s="679">
        <v>88</v>
      </c>
      <c r="I55" s="680">
        <v>0</v>
      </c>
      <c r="J55" s="679">
        <v>30</v>
      </c>
      <c r="K55" s="680">
        <v>50</v>
      </c>
      <c r="L55" s="679">
        <v>115</v>
      </c>
      <c r="M55" s="680">
        <v>20</v>
      </c>
      <c r="N55" s="679">
        <v>196</v>
      </c>
      <c r="O55" s="680">
        <v>80</v>
      </c>
      <c r="P55" s="76">
        <f t="shared" si="13"/>
        <v>150</v>
      </c>
      <c r="Q55" s="77"/>
      <c r="R55" s="97">
        <f t="shared" si="14"/>
        <v>489</v>
      </c>
      <c r="S55" s="87">
        <f t="shared" si="15"/>
        <v>32</v>
      </c>
      <c r="T55" s="97">
        <f t="shared" si="16"/>
        <v>88</v>
      </c>
      <c r="U55" s="87">
        <f t="shared" si="17"/>
        <v>11</v>
      </c>
      <c r="V55" s="97">
        <f t="shared" si="23"/>
        <v>30</v>
      </c>
      <c r="W55" s="87">
        <f t="shared" si="18"/>
        <v>42</v>
      </c>
      <c r="X55" s="97">
        <f t="shared" si="24"/>
        <v>115</v>
      </c>
      <c r="Y55" s="87">
        <f t="shared" si="19"/>
        <v>25</v>
      </c>
      <c r="Z55" s="97">
        <f t="shared" si="25"/>
        <v>196</v>
      </c>
      <c r="AA55" s="87">
        <f t="shared" si="20"/>
        <v>25</v>
      </c>
      <c r="AB55" s="98">
        <f t="shared" si="21"/>
        <v>918</v>
      </c>
      <c r="AC55" s="87">
        <f t="shared" si="22"/>
        <v>27</v>
      </c>
      <c r="AD55" s="726"/>
      <c r="AE55" s="740"/>
      <c r="AF55" s="739"/>
    </row>
    <row r="56" spans="1:32" ht="13.5" customHeight="1">
      <c r="A56" s="71" t="s">
        <v>166</v>
      </c>
      <c r="B56" s="72">
        <v>141</v>
      </c>
      <c r="C56" s="99">
        <f>IF(B56="","",VLOOKUP(B56,Nevezés!$C$2:$G$81,4,FALSE))</f>
        <v>1</v>
      </c>
      <c r="D56" s="100" t="str">
        <f>IF(B56="","",VLOOKUP(B56,Nevezés!$C$2:$G$89,5,FALSE))</f>
        <v>Horváth Balázs</v>
      </c>
      <c r="E56" s="101" t="str">
        <f>IF(B56="","",VLOOKUP(B56,Nevezés!$C$2:$G$81,2,FALSE))</f>
        <v>XIX. kerületi HTP</v>
      </c>
      <c r="F56" s="679">
        <v>338</v>
      </c>
      <c r="G56" s="680">
        <v>0</v>
      </c>
      <c r="H56" s="679">
        <v>0</v>
      </c>
      <c r="I56" s="680">
        <v>40</v>
      </c>
      <c r="J56" s="679">
        <v>0</v>
      </c>
      <c r="K56" s="680">
        <v>190</v>
      </c>
      <c r="L56" s="679">
        <v>66</v>
      </c>
      <c r="M56" s="680">
        <v>0</v>
      </c>
      <c r="N56" s="679">
        <v>14</v>
      </c>
      <c r="O56" s="680">
        <v>200</v>
      </c>
      <c r="P56" s="76">
        <f t="shared" si="13"/>
        <v>430</v>
      </c>
      <c r="Q56" s="77"/>
      <c r="R56" s="78">
        <f t="shared" si="14"/>
        <v>338</v>
      </c>
      <c r="S56" s="87">
        <f t="shared" si="15"/>
        <v>56</v>
      </c>
      <c r="T56" s="78">
        <f t="shared" si="16"/>
        <v>0</v>
      </c>
      <c r="U56" s="87">
        <f t="shared" si="17"/>
        <v>45</v>
      </c>
      <c r="V56" s="78">
        <f t="shared" si="23"/>
        <v>0</v>
      </c>
      <c r="W56" s="87">
        <f t="shared" si="18"/>
        <v>46</v>
      </c>
      <c r="X56" s="78">
        <f t="shared" si="24"/>
        <v>66</v>
      </c>
      <c r="Y56" s="87">
        <f t="shared" si="19"/>
        <v>46</v>
      </c>
      <c r="Z56" s="78">
        <f t="shared" si="25"/>
        <v>14</v>
      </c>
      <c r="AA56" s="87">
        <f t="shared" si="20"/>
        <v>55</v>
      </c>
      <c r="AB56" s="80">
        <f t="shared" si="21"/>
        <v>418</v>
      </c>
      <c r="AC56" s="87">
        <f t="shared" si="22"/>
        <v>59</v>
      </c>
      <c r="AD56" s="731">
        <f>SUM(AB56:AB59)</f>
        <v>1592</v>
      </c>
      <c r="AE56" s="740">
        <f>IF(AD56="","",RANK(AD56,$AD$4:$AD$91))</f>
        <v>16</v>
      </c>
      <c r="AF56" s="738">
        <f>P56+P57+P58+P59</f>
        <v>1620</v>
      </c>
    </row>
    <row r="57" spans="1:32" ht="13.5" customHeight="1">
      <c r="A57" s="81" t="s">
        <v>166</v>
      </c>
      <c r="B57" s="82">
        <v>142</v>
      </c>
      <c r="C57" s="102">
        <f>IF(B57="","",VLOOKUP(B57,Nevezés!$C$2:$G$81,4,FALSE))</f>
        <v>2</v>
      </c>
      <c r="D57" s="103" t="str">
        <f>IF(B57="","",VLOOKUP(B57,Nevezés!$C$2:$G$89,5,FALSE))</f>
        <v>Szűcs Flórián</v>
      </c>
      <c r="E57" s="104" t="str">
        <f>IF(B57="","",VLOOKUP(B57,Nevezés!$C$2:$G$81,2,FALSE))</f>
        <v>XIX. kerületi HTP</v>
      </c>
      <c r="F57" s="679">
        <v>500</v>
      </c>
      <c r="G57" s="680">
        <v>0</v>
      </c>
      <c r="H57" s="679">
        <v>0</v>
      </c>
      <c r="I57" s="680">
        <v>100</v>
      </c>
      <c r="J57" s="679">
        <v>4</v>
      </c>
      <c r="K57" s="680">
        <v>110</v>
      </c>
      <c r="L57" s="679">
        <v>111</v>
      </c>
      <c r="M57" s="680">
        <v>0</v>
      </c>
      <c r="N57" s="679">
        <v>18</v>
      </c>
      <c r="O57" s="680">
        <v>250</v>
      </c>
      <c r="P57" s="76">
        <f t="shared" si="13"/>
        <v>460</v>
      </c>
      <c r="Q57" s="77"/>
      <c r="R57" s="86">
        <f t="shared" si="14"/>
        <v>500</v>
      </c>
      <c r="S57" s="87">
        <f t="shared" si="15"/>
        <v>28</v>
      </c>
      <c r="T57" s="86">
        <f t="shared" si="16"/>
        <v>0</v>
      </c>
      <c r="U57" s="87">
        <f t="shared" si="17"/>
        <v>45</v>
      </c>
      <c r="V57" s="86">
        <f t="shared" si="23"/>
        <v>4</v>
      </c>
      <c r="W57" s="87">
        <f t="shared" si="18"/>
        <v>44</v>
      </c>
      <c r="X57" s="86">
        <f t="shared" si="24"/>
        <v>111</v>
      </c>
      <c r="Y57" s="87">
        <f t="shared" si="19"/>
        <v>27</v>
      </c>
      <c r="Z57" s="86">
        <f t="shared" si="25"/>
        <v>18</v>
      </c>
      <c r="AA57" s="87">
        <f t="shared" si="20"/>
        <v>54</v>
      </c>
      <c r="AB57" s="88">
        <f t="shared" si="21"/>
        <v>633</v>
      </c>
      <c r="AC57" s="87">
        <f t="shared" si="22"/>
        <v>51</v>
      </c>
      <c r="AD57" s="732"/>
      <c r="AE57" s="740"/>
      <c r="AF57" s="739"/>
    </row>
    <row r="58" spans="1:32" ht="13.5" customHeight="1">
      <c r="A58" s="89" t="s">
        <v>166</v>
      </c>
      <c r="B58" s="90">
        <v>143</v>
      </c>
      <c r="C58" s="105">
        <f>IF(B58="","",VLOOKUP(B58,Nevezés!$C$2:$G$81,4,FALSE))</f>
        <v>3</v>
      </c>
      <c r="D58" s="103" t="str">
        <f>IF(B58="","",VLOOKUP(B58,Nevezés!$C$2:$G$89,5,FALSE))</f>
        <v>Soltész Péter</v>
      </c>
      <c r="E58" s="106" t="str">
        <f>IF(B58="","",VLOOKUP(B58,Nevezés!$C$2:$G$81,2,FALSE))</f>
        <v>XIX. kerületi HTP</v>
      </c>
      <c r="F58" s="679">
        <v>402</v>
      </c>
      <c r="G58" s="680">
        <v>0</v>
      </c>
      <c r="H58" s="679">
        <v>0</v>
      </c>
      <c r="I58" s="680">
        <v>0</v>
      </c>
      <c r="J58" s="679">
        <v>0</v>
      </c>
      <c r="K58" s="680">
        <v>290</v>
      </c>
      <c r="L58" s="679">
        <v>139</v>
      </c>
      <c r="M58" s="680">
        <v>20</v>
      </c>
      <c r="N58" s="679">
        <v>0</v>
      </c>
      <c r="O58" s="680">
        <v>420</v>
      </c>
      <c r="P58" s="76">
        <f t="shared" si="13"/>
        <v>730</v>
      </c>
      <c r="Q58" s="77"/>
      <c r="R58" s="86">
        <f t="shared" si="14"/>
        <v>402</v>
      </c>
      <c r="S58" s="87">
        <f t="shared" si="15"/>
        <v>54</v>
      </c>
      <c r="T58" s="86">
        <f t="shared" si="16"/>
        <v>0</v>
      </c>
      <c r="U58" s="87">
        <f t="shared" si="17"/>
        <v>45</v>
      </c>
      <c r="V58" s="86">
        <f t="shared" si="23"/>
        <v>0</v>
      </c>
      <c r="W58" s="87">
        <f t="shared" si="18"/>
        <v>46</v>
      </c>
      <c r="X58" s="86">
        <f t="shared" si="24"/>
        <v>139</v>
      </c>
      <c r="Y58" s="87">
        <f t="shared" si="19"/>
        <v>14</v>
      </c>
      <c r="Z58" s="86">
        <f t="shared" si="25"/>
        <v>0</v>
      </c>
      <c r="AA58" s="87">
        <f t="shared" si="20"/>
        <v>56</v>
      </c>
      <c r="AB58" s="88">
        <f t="shared" si="21"/>
        <v>541</v>
      </c>
      <c r="AC58" s="87">
        <f t="shared" si="22"/>
        <v>56</v>
      </c>
      <c r="AD58" s="732"/>
      <c r="AE58" s="740"/>
      <c r="AF58" s="739"/>
    </row>
    <row r="59" spans="1:32" ht="13.5" customHeight="1">
      <c r="A59" s="93" t="s">
        <v>166</v>
      </c>
      <c r="B59" s="94">
        <v>144</v>
      </c>
      <c r="C59" s="107" t="e">
        <f>IF(B59="","",VLOOKUP(B59,Nevezés!$C$2:$G$81,4,FALSE))</f>
        <v>#N/A</v>
      </c>
      <c r="D59" s="103" t="e">
        <f>IF(B59="","",VLOOKUP(B59,Nevezés!$C$2:$G$89,5,FALSE))</f>
        <v>#N/A</v>
      </c>
      <c r="E59" s="108" t="e">
        <f>IF(B59="","",VLOOKUP(B59,Nevezés!$C$2:$G$81,2,FALSE))</f>
        <v>#N/A</v>
      </c>
      <c r="F59" s="679"/>
      <c r="G59" s="680"/>
      <c r="H59" s="679"/>
      <c r="I59" s="680"/>
      <c r="J59" s="679"/>
      <c r="K59" s="680"/>
      <c r="L59" s="679"/>
      <c r="M59" s="680"/>
      <c r="N59" s="679"/>
      <c r="O59" s="680"/>
      <c r="P59" s="76">
        <f t="shared" si="13"/>
        <v>0</v>
      </c>
      <c r="Q59" s="77"/>
      <c r="R59" s="97">
        <f t="shared" si="14"/>
        <v>0</v>
      </c>
      <c r="S59" s="87">
        <f t="shared" si="15"/>
        <v>61</v>
      </c>
      <c r="T59" s="97">
        <f t="shared" si="16"/>
        <v>0</v>
      </c>
      <c r="U59" s="87">
        <f t="shared" si="17"/>
        <v>45</v>
      </c>
      <c r="V59" s="97">
        <f t="shared" si="23"/>
        <v>0</v>
      </c>
      <c r="W59" s="87">
        <f t="shared" si="18"/>
        <v>46</v>
      </c>
      <c r="X59" s="97">
        <f t="shared" si="24"/>
        <v>0</v>
      </c>
      <c r="Y59" s="87">
        <f t="shared" si="19"/>
        <v>58</v>
      </c>
      <c r="Z59" s="97">
        <f t="shared" si="25"/>
        <v>0</v>
      </c>
      <c r="AA59" s="87">
        <f t="shared" si="20"/>
        <v>56</v>
      </c>
      <c r="AB59" s="98">
        <f t="shared" si="21"/>
        <v>0</v>
      </c>
      <c r="AC59" s="87">
        <f t="shared" si="22"/>
        <v>61</v>
      </c>
      <c r="AD59" s="733"/>
      <c r="AE59" s="740"/>
      <c r="AF59" s="739"/>
    </row>
    <row r="60" spans="1:32" ht="13.5" customHeight="1">
      <c r="A60" s="71" t="s">
        <v>167</v>
      </c>
      <c r="B60" s="72">
        <v>151</v>
      </c>
      <c r="C60" s="99">
        <f>IF(B60="","",VLOOKUP(B60,Nevezés!$C$2:$G$81,4,FALSE))</f>
        <v>1</v>
      </c>
      <c r="D60" s="100" t="str">
        <f>IF(B60="","",VLOOKUP(B60,Nevezés!$C$2:$G$89,5,FALSE))</f>
        <v>Lukács Béla</v>
      </c>
      <c r="E60" s="101" t="str">
        <f>IF(B60="","",VLOOKUP(B60,Nevezés!$C$2:$G$81,2,FALSE))</f>
        <v>Gyöngyös HTP</v>
      </c>
      <c r="F60" s="679">
        <v>473</v>
      </c>
      <c r="G60" s="680">
        <v>0</v>
      </c>
      <c r="H60" s="679">
        <v>89</v>
      </c>
      <c r="I60" s="680">
        <v>0</v>
      </c>
      <c r="J60" s="679">
        <v>116</v>
      </c>
      <c r="K60" s="680">
        <v>0</v>
      </c>
      <c r="L60" s="679">
        <v>55</v>
      </c>
      <c r="M60" s="680">
        <v>160</v>
      </c>
      <c r="N60" s="679">
        <v>80</v>
      </c>
      <c r="O60" s="680">
        <v>140</v>
      </c>
      <c r="P60" s="76">
        <f t="shared" si="13"/>
        <v>300</v>
      </c>
      <c r="Q60" s="77"/>
      <c r="R60" s="78">
        <f t="shared" si="14"/>
        <v>473</v>
      </c>
      <c r="S60" s="87">
        <f t="shared" si="15"/>
        <v>36</v>
      </c>
      <c r="T60" s="78">
        <f t="shared" si="16"/>
        <v>89</v>
      </c>
      <c r="U60" s="87">
        <f t="shared" si="17"/>
        <v>10</v>
      </c>
      <c r="V60" s="78">
        <f t="shared" si="23"/>
        <v>116</v>
      </c>
      <c r="W60" s="87">
        <f t="shared" si="18"/>
        <v>16</v>
      </c>
      <c r="X60" s="78">
        <f t="shared" si="24"/>
        <v>55</v>
      </c>
      <c r="Y60" s="87">
        <f t="shared" si="19"/>
        <v>51</v>
      </c>
      <c r="Z60" s="78">
        <f t="shared" si="25"/>
        <v>80</v>
      </c>
      <c r="AA60" s="87">
        <f t="shared" si="20"/>
        <v>51</v>
      </c>
      <c r="AB60" s="80">
        <f t="shared" si="21"/>
        <v>813</v>
      </c>
      <c r="AC60" s="87">
        <f t="shared" si="22"/>
        <v>36</v>
      </c>
      <c r="AD60" s="726">
        <f>SUM(AB60:AB63)</f>
        <v>3419</v>
      </c>
      <c r="AE60" s="740">
        <f>IF(AD60="","",RANK(AD60,$AD$4:$AD$91))</f>
        <v>7</v>
      </c>
      <c r="AF60" s="738">
        <f>P60+P61+P62+P63</f>
        <v>470</v>
      </c>
    </row>
    <row r="61" spans="1:32" ht="13.5" customHeight="1">
      <c r="A61" s="81" t="s">
        <v>167</v>
      </c>
      <c r="B61" s="82">
        <v>152</v>
      </c>
      <c r="C61" s="102">
        <f>IF(B61="","",VLOOKUP(B61,Nevezés!$C$2:$G$81,4,FALSE))</f>
        <v>2</v>
      </c>
      <c r="D61" s="103" t="str">
        <f>IF(B61="","",VLOOKUP(B61,Nevezés!$C$2:$G$89,5,FALSE))</f>
        <v>Toldi Balázs</v>
      </c>
      <c r="E61" s="104" t="str">
        <f>IF(B61="","",VLOOKUP(B61,Nevezés!$C$2:$G$81,2,FALSE))</f>
        <v>Gyöngyös HTP</v>
      </c>
      <c r="F61" s="679">
        <v>483</v>
      </c>
      <c r="G61" s="680">
        <v>0</v>
      </c>
      <c r="H61" s="679">
        <v>2</v>
      </c>
      <c r="I61" s="680">
        <v>0</v>
      </c>
      <c r="J61" s="679">
        <v>85</v>
      </c>
      <c r="K61" s="680">
        <v>0</v>
      </c>
      <c r="L61" s="679">
        <v>77</v>
      </c>
      <c r="M61" s="680">
        <v>0</v>
      </c>
      <c r="N61" s="679">
        <v>240</v>
      </c>
      <c r="O61" s="680">
        <v>20</v>
      </c>
      <c r="P61" s="76">
        <f t="shared" si="13"/>
        <v>20</v>
      </c>
      <c r="Q61" s="77"/>
      <c r="R61" s="86">
        <f t="shared" si="14"/>
        <v>483</v>
      </c>
      <c r="S61" s="87">
        <f t="shared" si="15"/>
        <v>34</v>
      </c>
      <c r="T61" s="86">
        <f t="shared" si="16"/>
        <v>2</v>
      </c>
      <c r="U61" s="87">
        <f t="shared" si="17"/>
        <v>42</v>
      </c>
      <c r="V61" s="86">
        <f t="shared" si="23"/>
        <v>85</v>
      </c>
      <c r="W61" s="87">
        <f t="shared" si="18"/>
        <v>27</v>
      </c>
      <c r="X61" s="86">
        <f t="shared" si="24"/>
        <v>77</v>
      </c>
      <c r="Y61" s="87">
        <f t="shared" si="19"/>
        <v>39</v>
      </c>
      <c r="Z61" s="86">
        <f t="shared" si="25"/>
        <v>240</v>
      </c>
      <c r="AA61" s="87">
        <f t="shared" si="20"/>
        <v>20</v>
      </c>
      <c r="AB61" s="88">
        <f t="shared" si="21"/>
        <v>887</v>
      </c>
      <c r="AC61" s="87">
        <f t="shared" si="22"/>
        <v>30</v>
      </c>
      <c r="AD61" s="726"/>
      <c r="AE61" s="740"/>
      <c r="AF61" s="739"/>
    </row>
    <row r="62" spans="1:32" ht="13.5" customHeight="1">
      <c r="A62" s="89" t="s">
        <v>167</v>
      </c>
      <c r="B62" s="90">
        <v>153</v>
      </c>
      <c r="C62" s="105">
        <f>IF(B62="","",VLOOKUP(B62,Nevezés!$C$2:$G$81,4,FALSE))</f>
        <v>3</v>
      </c>
      <c r="D62" s="103" t="str">
        <f>IF(B62="","",VLOOKUP(B62,Nevezés!$C$2:$G$89,5,FALSE))</f>
        <v>Nagy Mihály</v>
      </c>
      <c r="E62" s="106" t="str">
        <f>IF(B62="","",VLOOKUP(B62,Nevezés!$C$2:$G$81,2,FALSE))</f>
        <v>Gyöngyös HTP</v>
      </c>
      <c r="F62" s="679">
        <v>153</v>
      </c>
      <c r="G62" s="680">
        <v>0</v>
      </c>
      <c r="H62" s="679">
        <v>39</v>
      </c>
      <c r="I62" s="680">
        <v>0</v>
      </c>
      <c r="J62" s="679">
        <v>83</v>
      </c>
      <c r="K62" s="680">
        <v>40</v>
      </c>
      <c r="L62" s="679">
        <v>134</v>
      </c>
      <c r="M62" s="680">
        <v>0</v>
      </c>
      <c r="N62" s="679">
        <v>232</v>
      </c>
      <c r="O62" s="680">
        <v>60</v>
      </c>
      <c r="P62" s="76">
        <f t="shared" si="13"/>
        <v>100</v>
      </c>
      <c r="Q62" s="77"/>
      <c r="R62" s="86">
        <f t="shared" si="14"/>
        <v>153</v>
      </c>
      <c r="S62" s="87">
        <f t="shared" si="15"/>
        <v>60</v>
      </c>
      <c r="T62" s="86">
        <f t="shared" si="16"/>
        <v>39</v>
      </c>
      <c r="U62" s="87">
        <f t="shared" si="17"/>
        <v>33</v>
      </c>
      <c r="V62" s="86">
        <f t="shared" si="23"/>
        <v>83</v>
      </c>
      <c r="W62" s="87">
        <f t="shared" si="18"/>
        <v>29</v>
      </c>
      <c r="X62" s="86">
        <f t="shared" si="24"/>
        <v>134</v>
      </c>
      <c r="Y62" s="87">
        <f t="shared" si="19"/>
        <v>17</v>
      </c>
      <c r="Z62" s="86">
        <f t="shared" si="25"/>
        <v>232</v>
      </c>
      <c r="AA62" s="87">
        <f t="shared" si="20"/>
        <v>21</v>
      </c>
      <c r="AB62" s="88">
        <f t="shared" si="21"/>
        <v>641</v>
      </c>
      <c r="AC62" s="87">
        <f t="shared" si="22"/>
        <v>50</v>
      </c>
      <c r="AD62" s="726"/>
      <c r="AE62" s="740"/>
      <c r="AF62" s="739"/>
    </row>
    <row r="63" spans="1:32" ht="13.5" customHeight="1">
      <c r="A63" s="93" t="s">
        <v>167</v>
      </c>
      <c r="B63" s="94">
        <v>154</v>
      </c>
      <c r="C63" s="107">
        <f>IF(B63="","",VLOOKUP(B63,Nevezés!$C$2:$G$81,4,FALSE))</f>
        <v>4</v>
      </c>
      <c r="D63" s="103" t="str">
        <f>IF(B63="","",VLOOKUP(B63,Nevezés!$C$2:$G$89,5,FALSE))</f>
        <v>Zaklócki Zoltán</v>
      </c>
      <c r="E63" s="108" t="str">
        <f>IF(B63="","",VLOOKUP(B63,Nevezés!$C$2:$G$81,2,FALSE))</f>
        <v>Gyöngyös HTP</v>
      </c>
      <c r="F63" s="679">
        <v>469</v>
      </c>
      <c r="G63" s="680">
        <v>0</v>
      </c>
      <c r="H63" s="679">
        <v>60</v>
      </c>
      <c r="I63" s="680">
        <v>0</v>
      </c>
      <c r="J63" s="679">
        <v>152</v>
      </c>
      <c r="K63" s="680">
        <v>0</v>
      </c>
      <c r="L63" s="679">
        <v>77</v>
      </c>
      <c r="M63" s="680">
        <v>50</v>
      </c>
      <c r="N63" s="679">
        <v>320</v>
      </c>
      <c r="O63" s="680">
        <v>0</v>
      </c>
      <c r="P63" s="76">
        <f t="shared" si="13"/>
        <v>50</v>
      </c>
      <c r="Q63" s="77"/>
      <c r="R63" s="97">
        <f t="shared" si="14"/>
        <v>469</v>
      </c>
      <c r="S63" s="87">
        <f t="shared" si="15"/>
        <v>39</v>
      </c>
      <c r="T63" s="97">
        <f t="shared" si="16"/>
        <v>60</v>
      </c>
      <c r="U63" s="87">
        <f t="shared" si="17"/>
        <v>22</v>
      </c>
      <c r="V63" s="97">
        <f t="shared" si="23"/>
        <v>152</v>
      </c>
      <c r="W63" s="87">
        <f t="shared" si="18"/>
        <v>6</v>
      </c>
      <c r="X63" s="97">
        <f t="shared" si="24"/>
        <v>77</v>
      </c>
      <c r="Y63" s="87">
        <f t="shared" si="19"/>
        <v>39</v>
      </c>
      <c r="Z63" s="97">
        <f t="shared" si="25"/>
        <v>320</v>
      </c>
      <c r="AA63" s="87">
        <f t="shared" si="20"/>
        <v>8</v>
      </c>
      <c r="AB63" s="98">
        <f t="shared" si="21"/>
        <v>1078</v>
      </c>
      <c r="AC63" s="87">
        <f t="shared" si="22"/>
        <v>13</v>
      </c>
      <c r="AD63" s="726"/>
      <c r="AE63" s="740"/>
      <c r="AF63" s="739"/>
    </row>
    <row r="64" spans="1:32" ht="13.5" customHeight="1">
      <c r="A64" s="71" t="s">
        <v>168</v>
      </c>
      <c r="B64" s="72">
        <v>161</v>
      </c>
      <c r="C64" s="73">
        <f>IF(B64="","",VLOOKUP(B64,Nevezés!$C$2:$G$81,4,FALSE))</f>
        <v>1</v>
      </c>
      <c r="D64" s="74" t="str">
        <f>IF(B64="","",VLOOKUP(B64,Nevezés!$C$2:$G$89,5,FALSE))</f>
        <v>Kmetz Szabolcs</v>
      </c>
      <c r="E64" s="75" t="str">
        <f>IF(B64="","",VLOOKUP(B64,Nevezés!$C$2:$G$81,2,FALSE))</f>
        <v>Encs HTP</v>
      </c>
      <c r="F64" s="679">
        <v>647</v>
      </c>
      <c r="G64" s="680">
        <v>0</v>
      </c>
      <c r="H64" s="679">
        <v>118</v>
      </c>
      <c r="I64" s="680">
        <v>0</v>
      </c>
      <c r="J64" s="679">
        <v>163</v>
      </c>
      <c r="K64" s="680">
        <v>0</v>
      </c>
      <c r="L64" s="679">
        <v>206</v>
      </c>
      <c r="M64" s="680">
        <v>0</v>
      </c>
      <c r="N64" s="679">
        <v>370</v>
      </c>
      <c r="O64" s="680">
        <v>0</v>
      </c>
      <c r="P64" s="76">
        <f t="shared" si="13"/>
        <v>0</v>
      </c>
      <c r="Q64" s="77"/>
      <c r="R64" s="78">
        <f t="shared" si="14"/>
        <v>647</v>
      </c>
      <c r="S64" s="87">
        <f t="shared" si="15"/>
        <v>2</v>
      </c>
      <c r="T64" s="78">
        <f t="shared" si="16"/>
        <v>118</v>
      </c>
      <c r="U64" s="87">
        <f t="shared" si="17"/>
        <v>1</v>
      </c>
      <c r="V64" s="78">
        <f t="shared" si="23"/>
        <v>163</v>
      </c>
      <c r="W64" s="87">
        <f t="shared" si="18"/>
        <v>5</v>
      </c>
      <c r="X64" s="78">
        <f t="shared" si="24"/>
        <v>206</v>
      </c>
      <c r="Y64" s="87">
        <f t="shared" si="19"/>
        <v>2</v>
      </c>
      <c r="Z64" s="78">
        <f t="shared" si="25"/>
        <v>370</v>
      </c>
      <c r="AA64" s="87">
        <f t="shared" si="20"/>
        <v>3</v>
      </c>
      <c r="AB64" s="80">
        <f t="shared" si="21"/>
        <v>1504</v>
      </c>
      <c r="AC64" s="87">
        <f t="shared" si="22"/>
        <v>1</v>
      </c>
      <c r="AD64" s="731">
        <f>SUM(AB64:AB67)</f>
        <v>5531</v>
      </c>
      <c r="AE64" s="740">
        <f>IF(AD64="","",RANK(AD64,$AD$4:$AD$91))</f>
        <v>1</v>
      </c>
      <c r="AF64" s="738">
        <f>P64+P65+P66+P67</f>
        <v>170</v>
      </c>
    </row>
    <row r="65" spans="1:32" ht="13.5" customHeight="1">
      <c r="A65" s="81" t="s">
        <v>168</v>
      </c>
      <c r="B65" s="82">
        <v>162</v>
      </c>
      <c r="C65" s="83">
        <f>IF(B65="","",VLOOKUP(B65,Nevezés!$C$2:$G$81,4,FALSE))</f>
        <v>2</v>
      </c>
      <c r="D65" s="84" t="str">
        <f>IF(B65="","",VLOOKUP(B65,Nevezés!$C$2:$G$89,5,FALSE))</f>
        <v>Lukács Zsolt András</v>
      </c>
      <c r="E65" s="85" t="str">
        <f>IF(B65="","",VLOOKUP(B65,Nevezés!$C$2:$G$81,2,FALSE))</f>
        <v>Encs HTP</v>
      </c>
      <c r="F65" s="679">
        <v>614</v>
      </c>
      <c r="G65" s="680">
        <v>0</v>
      </c>
      <c r="H65" s="679">
        <v>50</v>
      </c>
      <c r="I65" s="680">
        <v>50</v>
      </c>
      <c r="J65" s="679">
        <v>187</v>
      </c>
      <c r="K65" s="680">
        <v>0</v>
      </c>
      <c r="L65" s="679">
        <v>186</v>
      </c>
      <c r="M65" s="680">
        <v>0</v>
      </c>
      <c r="N65" s="679">
        <v>350</v>
      </c>
      <c r="O65" s="680">
        <v>0</v>
      </c>
      <c r="P65" s="76">
        <f t="shared" si="13"/>
        <v>50</v>
      </c>
      <c r="Q65" s="77"/>
      <c r="R65" s="86">
        <f t="shared" si="14"/>
        <v>614</v>
      </c>
      <c r="S65" s="87">
        <f t="shared" si="15"/>
        <v>8</v>
      </c>
      <c r="T65" s="86">
        <f t="shared" si="16"/>
        <v>50</v>
      </c>
      <c r="U65" s="87">
        <f t="shared" si="17"/>
        <v>28</v>
      </c>
      <c r="V65" s="86">
        <f t="shared" si="23"/>
        <v>187</v>
      </c>
      <c r="W65" s="87">
        <f t="shared" si="18"/>
        <v>1</v>
      </c>
      <c r="X65" s="86">
        <f t="shared" si="24"/>
        <v>186</v>
      </c>
      <c r="Y65" s="87">
        <f t="shared" si="19"/>
        <v>4</v>
      </c>
      <c r="Z65" s="86">
        <f t="shared" si="25"/>
        <v>350</v>
      </c>
      <c r="AA65" s="87">
        <f t="shared" si="20"/>
        <v>6</v>
      </c>
      <c r="AB65" s="88">
        <f t="shared" si="21"/>
        <v>1387</v>
      </c>
      <c r="AC65" s="87">
        <f t="shared" si="22"/>
        <v>4</v>
      </c>
      <c r="AD65" s="732"/>
      <c r="AE65" s="740"/>
      <c r="AF65" s="739"/>
    </row>
    <row r="66" spans="1:32" ht="13.5" customHeight="1">
      <c r="A66" s="89" t="s">
        <v>168</v>
      </c>
      <c r="B66" s="90">
        <v>163</v>
      </c>
      <c r="C66" s="91">
        <f>IF(B66="","",VLOOKUP(B66,Nevezés!$C$2:$G$81,4,FALSE))</f>
        <v>3</v>
      </c>
      <c r="D66" s="84" t="str">
        <f>IF(B66="","",VLOOKUP(B66,Nevezés!$C$2:$G$89,5,FALSE))</f>
        <v>Hudák Péter</v>
      </c>
      <c r="E66" s="92" t="str">
        <f>IF(B66="","",VLOOKUP(B66,Nevezés!$C$2:$G$81,2,FALSE))</f>
        <v>Encs HTP</v>
      </c>
      <c r="F66" s="679">
        <v>549</v>
      </c>
      <c r="G66" s="680">
        <v>0</v>
      </c>
      <c r="H66" s="679">
        <v>91</v>
      </c>
      <c r="I66" s="680">
        <v>0</v>
      </c>
      <c r="J66" s="679">
        <v>127</v>
      </c>
      <c r="K66" s="680">
        <v>0</v>
      </c>
      <c r="L66" s="679">
        <v>148</v>
      </c>
      <c r="M66" s="680">
        <v>80</v>
      </c>
      <c r="N66" s="679">
        <v>288</v>
      </c>
      <c r="O66" s="680">
        <v>40</v>
      </c>
      <c r="P66" s="76">
        <f t="shared" si="13"/>
        <v>120</v>
      </c>
      <c r="Q66" s="77"/>
      <c r="R66" s="86">
        <f t="shared" si="14"/>
        <v>549</v>
      </c>
      <c r="S66" s="87">
        <f t="shared" si="15"/>
        <v>20</v>
      </c>
      <c r="T66" s="86">
        <f t="shared" si="16"/>
        <v>91</v>
      </c>
      <c r="U66" s="87">
        <f t="shared" si="17"/>
        <v>8</v>
      </c>
      <c r="V66" s="86">
        <f t="shared" si="23"/>
        <v>127</v>
      </c>
      <c r="W66" s="87">
        <f t="shared" si="18"/>
        <v>14</v>
      </c>
      <c r="X66" s="86">
        <f t="shared" si="24"/>
        <v>148</v>
      </c>
      <c r="Y66" s="87">
        <f t="shared" si="19"/>
        <v>10</v>
      </c>
      <c r="Z66" s="86">
        <f t="shared" si="25"/>
        <v>288</v>
      </c>
      <c r="AA66" s="87">
        <f t="shared" si="20"/>
        <v>12</v>
      </c>
      <c r="AB66" s="88">
        <f t="shared" si="21"/>
        <v>1203</v>
      </c>
      <c r="AC66" s="87">
        <f t="shared" si="22"/>
        <v>9</v>
      </c>
      <c r="AD66" s="732"/>
      <c r="AE66" s="740"/>
      <c r="AF66" s="739"/>
    </row>
    <row r="67" spans="1:32" ht="13.5" customHeight="1">
      <c r="A67" s="93" t="s">
        <v>168</v>
      </c>
      <c r="B67" s="94">
        <v>164</v>
      </c>
      <c r="C67" s="95">
        <f>IF(B67="","",VLOOKUP(B67,Nevezés!$C$2:$G$81,4,FALSE))</f>
        <v>4</v>
      </c>
      <c r="D67" s="84" t="str">
        <f>IF(B67="","",VLOOKUP(B67,Nevezés!$C$2:$G$89,5,FALSE))</f>
        <v>Jaczenkó Krisztián</v>
      </c>
      <c r="E67" s="96" t="str">
        <f>IF(B67="","",VLOOKUP(B67,Nevezés!$C$2:$G$81,2,FALSE))</f>
        <v>Encs HTP</v>
      </c>
      <c r="F67" s="679">
        <v>655</v>
      </c>
      <c r="G67" s="680">
        <v>0</v>
      </c>
      <c r="H67" s="679">
        <v>116</v>
      </c>
      <c r="I67" s="680">
        <v>0</v>
      </c>
      <c r="J67" s="679">
        <v>142</v>
      </c>
      <c r="K67" s="680">
        <v>0</v>
      </c>
      <c r="L67" s="679">
        <v>152</v>
      </c>
      <c r="M67" s="680">
        <v>0</v>
      </c>
      <c r="N67" s="679">
        <v>372</v>
      </c>
      <c r="O67" s="680">
        <v>0</v>
      </c>
      <c r="P67" s="76">
        <f t="shared" si="13"/>
        <v>0</v>
      </c>
      <c r="Q67" s="77"/>
      <c r="R67" s="97">
        <f t="shared" si="14"/>
        <v>655</v>
      </c>
      <c r="S67" s="87">
        <f t="shared" si="15"/>
        <v>1</v>
      </c>
      <c r="T67" s="97">
        <f t="shared" si="16"/>
        <v>116</v>
      </c>
      <c r="U67" s="87">
        <f t="shared" si="17"/>
        <v>2</v>
      </c>
      <c r="V67" s="97">
        <f t="shared" si="23"/>
        <v>142</v>
      </c>
      <c r="W67" s="87">
        <f t="shared" si="18"/>
        <v>10</v>
      </c>
      <c r="X67" s="97">
        <f t="shared" si="24"/>
        <v>152</v>
      </c>
      <c r="Y67" s="87">
        <f t="shared" si="19"/>
        <v>9</v>
      </c>
      <c r="Z67" s="97">
        <f t="shared" si="25"/>
        <v>372</v>
      </c>
      <c r="AA67" s="87">
        <f t="shared" si="20"/>
        <v>2</v>
      </c>
      <c r="AB67" s="98">
        <f t="shared" si="21"/>
        <v>1437</v>
      </c>
      <c r="AC67" s="87">
        <f t="shared" si="22"/>
        <v>3</v>
      </c>
      <c r="AD67" s="733"/>
      <c r="AE67" s="740"/>
      <c r="AF67" s="739"/>
    </row>
    <row r="68" spans="1:32" ht="13.5" customHeight="1">
      <c r="A68" s="71" t="s">
        <v>169</v>
      </c>
      <c r="B68" s="72">
        <v>171</v>
      </c>
      <c r="C68" s="99" t="e">
        <f>IF(B68="","",VLOOKUP(B68,Nevezés!$C$2:$G$81,4,FALSE))</f>
        <v>#N/A</v>
      </c>
      <c r="D68" s="100" t="e">
        <f>IF(B68="","",VLOOKUP(B68,Nevezés!$C$2:$G$89,5,FALSE))</f>
        <v>#N/A</v>
      </c>
      <c r="E68" s="101" t="e">
        <f>IF(B68="","",VLOOKUP(B68,Nevezés!$C$2:$G$81,2,FALSE))</f>
        <v>#N/A</v>
      </c>
      <c r="F68" s="679"/>
      <c r="G68" s="680"/>
      <c r="H68" s="679"/>
      <c r="I68" s="680"/>
      <c r="J68" s="679"/>
      <c r="K68" s="680"/>
      <c r="L68" s="679"/>
      <c r="M68" s="680"/>
      <c r="N68" s="679"/>
      <c r="O68" s="680"/>
      <c r="P68" s="76">
        <f aca="true" t="shared" si="26" ref="P68:P91">G68+I68+K68+M68+O68</f>
        <v>0</v>
      </c>
      <c r="Q68" s="77"/>
      <c r="R68" s="78">
        <f aca="true" t="shared" si="27" ref="R68:R91">IF(F68="",0,F68)</f>
        <v>0</v>
      </c>
      <c r="S68" s="87">
        <f aca="true" t="shared" si="28" ref="S68:S91">IF(R68="","",RANK(R68,$R$4:$R$91))</f>
        <v>61</v>
      </c>
      <c r="T68" s="78">
        <f aca="true" t="shared" si="29" ref="T68:T91">IF(H68="",0,H68)</f>
        <v>0</v>
      </c>
      <c r="U68" s="87">
        <f aca="true" t="shared" si="30" ref="U68:U91">IF(T68="","",RANK(T68,$T$4:$T$91))</f>
        <v>45</v>
      </c>
      <c r="V68" s="78">
        <f t="shared" si="23"/>
        <v>0</v>
      </c>
      <c r="W68" s="87">
        <f aca="true" t="shared" si="31" ref="W68:W91">IF(V68="","",RANK(V68,$V$4:$V$91))</f>
        <v>46</v>
      </c>
      <c r="X68" s="78">
        <f t="shared" si="24"/>
        <v>0</v>
      </c>
      <c r="Y68" s="87">
        <f aca="true" t="shared" si="32" ref="Y68:Y91">IF(X68="","",RANK(X68,$X$4:$X$91))</f>
        <v>58</v>
      </c>
      <c r="Z68" s="78">
        <f t="shared" si="25"/>
        <v>0</v>
      </c>
      <c r="AA68" s="87">
        <f aca="true" t="shared" si="33" ref="AA68:AA91">IF(Z68="","",RANK(Z68,$Z$4:$Z$91))</f>
        <v>56</v>
      </c>
      <c r="AB68" s="80">
        <f aca="true" t="shared" si="34" ref="AB68:AB91">R68+T68+V68+X68+Z68</f>
        <v>0</v>
      </c>
      <c r="AC68" s="87">
        <f aca="true" t="shared" si="35" ref="AC68:AC91">IF(AB68="","",RANK(AB68,$AB$4:$AB$91))</f>
        <v>61</v>
      </c>
      <c r="AD68" s="726">
        <f>SUM(AB68:AB71)</f>
        <v>0</v>
      </c>
      <c r="AE68" s="740">
        <f>IF(AD68="","",RANK(AD68,$AD$4:$AD$91))</f>
        <v>17</v>
      </c>
      <c r="AF68" s="738">
        <f>P68+P69+P70+P71</f>
        <v>0</v>
      </c>
    </row>
    <row r="69" spans="1:32" ht="13.5" customHeight="1">
      <c r="A69" s="81" t="s">
        <v>169</v>
      </c>
      <c r="B69" s="82">
        <v>172</v>
      </c>
      <c r="C69" s="102" t="e">
        <f>IF(B69="","",VLOOKUP(B69,Nevezés!$C$2:$G$81,4,FALSE))</f>
        <v>#N/A</v>
      </c>
      <c r="D69" s="103" t="e">
        <f>IF(B69="","",VLOOKUP(B69,Nevezés!$C$2:$G$89,5,FALSE))</f>
        <v>#N/A</v>
      </c>
      <c r="E69" s="104" t="e">
        <f>IF(B69="","",VLOOKUP(B69,Nevezés!$C$2:$G$81,2,FALSE))</f>
        <v>#N/A</v>
      </c>
      <c r="F69" s="679"/>
      <c r="G69" s="680"/>
      <c r="H69" s="679"/>
      <c r="I69" s="680"/>
      <c r="J69" s="679"/>
      <c r="K69" s="680"/>
      <c r="L69" s="679"/>
      <c r="M69" s="680"/>
      <c r="N69" s="679"/>
      <c r="O69" s="680"/>
      <c r="P69" s="76">
        <f t="shared" si="26"/>
        <v>0</v>
      </c>
      <c r="Q69" s="77"/>
      <c r="R69" s="86">
        <f t="shared" si="27"/>
        <v>0</v>
      </c>
      <c r="S69" s="87">
        <f t="shared" si="28"/>
        <v>61</v>
      </c>
      <c r="T69" s="86">
        <f t="shared" si="29"/>
        <v>0</v>
      </c>
      <c r="U69" s="87">
        <f t="shared" si="30"/>
        <v>45</v>
      </c>
      <c r="V69" s="86">
        <f t="shared" si="23"/>
        <v>0</v>
      </c>
      <c r="W69" s="87">
        <f t="shared" si="31"/>
        <v>46</v>
      </c>
      <c r="X69" s="86">
        <f t="shared" si="24"/>
        <v>0</v>
      </c>
      <c r="Y69" s="87">
        <f t="shared" si="32"/>
        <v>58</v>
      </c>
      <c r="Z69" s="86">
        <f t="shared" si="25"/>
        <v>0</v>
      </c>
      <c r="AA69" s="87">
        <f t="shared" si="33"/>
        <v>56</v>
      </c>
      <c r="AB69" s="88">
        <f t="shared" si="34"/>
        <v>0</v>
      </c>
      <c r="AC69" s="87">
        <f t="shared" si="35"/>
        <v>61</v>
      </c>
      <c r="AD69" s="726"/>
      <c r="AE69" s="740"/>
      <c r="AF69" s="739"/>
    </row>
    <row r="70" spans="1:32" ht="13.5" customHeight="1">
      <c r="A70" s="89" t="s">
        <v>169</v>
      </c>
      <c r="B70" s="90">
        <v>173</v>
      </c>
      <c r="C70" s="105" t="e">
        <f>IF(B70="","",VLOOKUP(B70,Nevezés!$C$2:$G$81,4,FALSE))</f>
        <v>#N/A</v>
      </c>
      <c r="D70" s="103" t="e">
        <f>IF(B70="","",VLOOKUP(B70,Nevezés!$C$2:$G$89,5,FALSE))</f>
        <v>#N/A</v>
      </c>
      <c r="E70" s="106" t="e">
        <f>IF(B70="","",VLOOKUP(B70,Nevezés!$C$2:$G$81,2,FALSE))</f>
        <v>#N/A</v>
      </c>
      <c r="F70" s="679"/>
      <c r="G70" s="680"/>
      <c r="H70" s="679"/>
      <c r="I70" s="680"/>
      <c r="J70" s="679"/>
      <c r="K70" s="680"/>
      <c r="L70" s="679"/>
      <c r="M70" s="680"/>
      <c r="N70" s="679"/>
      <c r="O70" s="680"/>
      <c r="P70" s="76">
        <f t="shared" si="26"/>
        <v>0</v>
      </c>
      <c r="Q70" s="77"/>
      <c r="R70" s="86">
        <f t="shared" si="27"/>
        <v>0</v>
      </c>
      <c r="S70" s="87">
        <f t="shared" si="28"/>
        <v>61</v>
      </c>
      <c r="T70" s="86">
        <f t="shared" si="29"/>
        <v>0</v>
      </c>
      <c r="U70" s="87">
        <f t="shared" si="30"/>
        <v>45</v>
      </c>
      <c r="V70" s="86">
        <f t="shared" si="23"/>
        <v>0</v>
      </c>
      <c r="W70" s="87">
        <f t="shared" si="31"/>
        <v>46</v>
      </c>
      <c r="X70" s="86">
        <f t="shared" si="24"/>
        <v>0</v>
      </c>
      <c r="Y70" s="87">
        <f t="shared" si="32"/>
        <v>58</v>
      </c>
      <c r="Z70" s="86">
        <f t="shared" si="25"/>
        <v>0</v>
      </c>
      <c r="AA70" s="87">
        <f t="shared" si="33"/>
        <v>56</v>
      </c>
      <c r="AB70" s="88">
        <f t="shared" si="34"/>
        <v>0</v>
      </c>
      <c r="AC70" s="87">
        <f t="shared" si="35"/>
        <v>61</v>
      </c>
      <c r="AD70" s="726"/>
      <c r="AE70" s="740"/>
      <c r="AF70" s="739"/>
    </row>
    <row r="71" spans="1:32" ht="13.5" customHeight="1">
      <c r="A71" s="93" t="s">
        <v>169</v>
      </c>
      <c r="B71" s="94">
        <v>174</v>
      </c>
      <c r="C71" s="107" t="e">
        <f>IF(B71="","",VLOOKUP(B71,Nevezés!$C$2:$G$81,4,FALSE))</f>
        <v>#N/A</v>
      </c>
      <c r="D71" s="103" t="e">
        <f>IF(B71="","",VLOOKUP(B71,Nevezés!$C$2:$G$89,5,FALSE))</f>
        <v>#N/A</v>
      </c>
      <c r="E71" s="108" t="e">
        <f>IF(B71="","",VLOOKUP(B71,Nevezés!$C$2:$G$81,2,FALSE))</f>
        <v>#N/A</v>
      </c>
      <c r="F71" s="679"/>
      <c r="G71" s="680"/>
      <c r="H71" s="679"/>
      <c r="I71" s="680"/>
      <c r="J71" s="679"/>
      <c r="K71" s="680"/>
      <c r="L71" s="679"/>
      <c r="M71" s="680"/>
      <c r="N71" s="679"/>
      <c r="O71" s="680"/>
      <c r="P71" s="76">
        <f t="shared" si="26"/>
        <v>0</v>
      </c>
      <c r="Q71" s="77"/>
      <c r="R71" s="97">
        <f t="shared" si="27"/>
        <v>0</v>
      </c>
      <c r="S71" s="87">
        <f t="shared" si="28"/>
        <v>61</v>
      </c>
      <c r="T71" s="97">
        <f t="shared" si="29"/>
        <v>0</v>
      </c>
      <c r="U71" s="87">
        <f t="shared" si="30"/>
        <v>45</v>
      </c>
      <c r="V71" s="97">
        <f t="shared" si="23"/>
        <v>0</v>
      </c>
      <c r="W71" s="87">
        <f t="shared" si="31"/>
        <v>46</v>
      </c>
      <c r="X71" s="97">
        <f t="shared" si="24"/>
        <v>0</v>
      </c>
      <c r="Y71" s="87">
        <f t="shared" si="32"/>
        <v>58</v>
      </c>
      <c r="Z71" s="97">
        <f t="shared" si="25"/>
        <v>0</v>
      </c>
      <c r="AA71" s="87">
        <f t="shared" si="33"/>
        <v>56</v>
      </c>
      <c r="AB71" s="98">
        <f t="shared" si="34"/>
        <v>0</v>
      </c>
      <c r="AC71" s="87">
        <f t="shared" si="35"/>
        <v>61</v>
      </c>
      <c r="AD71" s="726"/>
      <c r="AE71" s="740"/>
      <c r="AF71" s="739"/>
    </row>
    <row r="72" spans="1:32" ht="13.5" customHeight="1">
      <c r="A72" s="71" t="s">
        <v>170</v>
      </c>
      <c r="B72" s="72">
        <v>181</v>
      </c>
      <c r="C72" s="99" t="e">
        <f>IF(B72="","",VLOOKUP(B72,Nevezés!$C$2:$G$81,4,FALSE))</f>
        <v>#N/A</v>
      </c>
      <c r="D72" s="100" t="e">
        <f>IF(B72="","",VLOOKUP(B72,Nevezés!$C$2:$G$89,5,FALSE))</f>
        <v>#N/A</v>
      </c>
      <c r="E72" s="101" t="e">
        <f>IF(B72="","",VLOOKUP(B72,Nevezés!$C$2:$G$81,2,FALSE))</f>
        <v>#N/A</v>
      </c>
      <c r="F72" s="679"/>
      <c r="G72" s="680"/>
      <c r="H72" s="679"/>
      <c r="I72" s="680"/>
      <c r="J72" s="679"/>
      <c r="K72" s="680"/>
      <c r="L72" s="679"/>
      <c r="M72" s="680"/>
      <c r="N72" s="679"/>
      <c r="O72" s="680"/>
      <c r="P72" s="76">
        <f t="shared" si="26"/>
        <v>0</v>
      </c>
      <c r="Q72" s="77"/>
      <c r="R72" s="78">
        <f t="shared" si="27"/>
        <v>0</v>
      </c>
      <c r="S72" s="87">
        <f t="shared" si="28"/>
        <v>61</v>
      </c>
      <c r="T72" s="78">
        <f t="shared" si="29"/>
        <v>0</v>
      </c>
      <c r="U72" s="87">
        <f t="shared" si="30"/>
        <v>45</v>
      </c>
      <c r="V72" s="78">
        <f t="shared" si="23"/>
        <v>0</v>
      </c>
      <c r="W72" s="87">
        <f t="shared" si="31"/>
        <v>46</v>
      </c>
      <c r="X72" s="78">
        <f t="shared" si="24"/>
        <v>0</v>
      </c>
      <c r="Y72" s="87">
        <f t="shared" si="32"/>
        <v>58</v>
      </c>
      <c r="Z72" s="78">
        <f t="shared" si="25"/>
        <v>0</v>
      </c>
      <c r="AA72" s="87">
        <f t="shared" si="33"/>
        <v>56</v>
      </c>
      <c r="AB72" s="80">
        <f t="shared" si="34"/>
        <v>0</v>
      </c>
      <c r="AC72" s="87">
        <f t="shared" si="35"/>
        <v>61</v>
      </c>
      <c r="AD72" s="731">
        <f>SUM(AB72:AB75)</f>
        <v>0</v>
      </c>
      <c r="AE72" s="740">
        <f>IF(AD72="","",RANK(AD72,$AD$4:$AD$91))</f>
        <v>17</v>
      </c>
      <c r="AF72" s="738">
        <f>P72+P73+P74+P75</f>
        <v>0</v>
      </c>
    </row>
    <row r="73" spans="1:32" ht="13.5" customHeight="1">
      <c r="A73" s="81" t="s">
        <v>170</v>
      </c>
      <c r="B73" s="82">
        <v>182</v>
      </c>
      <c r="C73" s="102" t="e">
        <f>IF(B73="","",VLOOKUP(B73,Nevezés!$C$2:$G$81,4,FALSE))</f>
        <v>#N/A</v>
      </c>
      <c r="D73" s="103" t="e">
        <f>IF(B73="","",VLOOKUP(B73,Nevezés!$C$2:$G$89,5,FALSE))</f>
        <v>#N/A</v>
      </c>
      <c r="E73" s="104" t="e">
        <f>IF(B73="","",VLOOKUP(B73,Nevezés!$C$2:$G$81,2,FALSE))</f>
        <v>#N/A</v>
      </c>
      <c r="F73" s="679"/>
      <c r="G73" s="680"/>
      <c r="H73" s="679"/>
      <c r="I73" s="680"/>
      <c r="J73" s="679"/>
      <c r="K73" s="680"/>
      <c r="L73" s="679"/>
      <c r="M73" s="680"/>
      <c r="N73" s="679"/>
      <c r="O73" s="680"/>
      <c r="P73" s="76">
        <f t="shared" si="26"/>
        <v>0</v>
      </c>
      <c r="Q73" s="77"/>
      <c r="R73" s="86">
        <f t="shared" si="27"/>
        <v>0</v>
      </c>
      <c r="S73" s="87">
        <f t="shared" si="28"/>
        <v>61</v>
      </c>
      <c r="T73" s="86">
        <f t="shared" si="29"/>
        <v>0</v>
      </c>
      <c r="U73" s="87">
        <f t="shared" si="30"/>
        <v>45</v>
      </c>
      <c r="V73" s="86">
        <f aca="true" t="shared" si="36" ref="V73:V91">IF(J73=0,0,IF(SUM(J73)&gt;0,MAX(J73),""))</f>
        <v>0</v>
      </c>
      <c r="W73" s="87">
        <f t="shared" si="31"/>
        <v>46</v>
      </c>
      <c r="X73" s="86">
        <f aca="true" t="shared" si="37" ref="X73:X91">IF(L73=0,0,IF(SUM(L73)&gt;0,MAX(L73),""))</f>
        <v>0</v>
      </c>
      <c r="Y73" s="87">
        <f t="shared" si="32"/>
        <v>58</v>
      </c>
      <c r="Z73" s="86">
        <f aca="true" t="shared" si="38" ref="Z73:Z91">IF(N73=0,0,IF(SUM(N73)&gt;0,MAX(N73),""))</f>
        <v>0</v>
      </c>
      <c r="AA73" s="87">
        <f t="shared" si="33"/>
        <v>56</v>
      </c>
      <c r="AB73" s="88">
        <f t="shared" si="34"/>
        <v>0</v>
      </c>
      <c r="AC73" s="87">
        <f t="shared" si="35"/>
        <v>61</v>
      </c>
      <c r="AD73" s="732"/>
      <c r="AE73" s="740"/>
      <c r="AF73" s="739"/>
    </row>
    <row r="74" spans="1:32" ht="13.5" customHeight="1">
      <c r="A74" s="89" t="s">
        <v>170</v>
      </c>
      <c r="B74" s="90">
        <v>183</v>
      </c>
      <c r="C74" s="105" t="e">
        <f>IF(B74="","",VLOOKUP(B74,Nevezés!$C$2:$G$81,4,FALSE))</f>
        <v>#N/A</v>
      </c>
      <c r="D74" s="103" t="e">
        <f>IF(B74="","",VLOOKUP(B74,Nevezés!$C$2:$G$89,5,FALSE))</f>
        <v>#N/A</v>
      </c>
      <c r="E74" s="106" t="e">
        <f>IF(B74="","",VLOOKUP(B74,Nevezés!$C$2:$G$81,2,FALSE))</f>
        <v>#N/A</v>
      </c>
      <c r="F74" s="679"/>
      <c r="G74" s="680"/>
      <c r="H74" s="679"/>
      <c r="I74" s="680"/>
      <c r="J74" s="679"/>
      <c r="K74" s="680"/>
      <c r="L74" s="679"/>
      <c r="M74" s="680"/>
      <c r="N74" s="679"/>
      <c r="O74" s="680"/>
      <c r="P74" s="76">
        <f t="shared" si="26"/>
        <v>0</v>
      </c>
      <c r="Q74" s="77"/>
      <c r="R74" s="86">
        <f t="shared" si="27"/>
        <v>0</v>
      </c>
      <c r="S74" s="87">
        <f t="shared" si="28"/>
        <v>61</v>
      </c>
      <c r="T74" s="86">
        <f t="shared" si="29"/>
        <v>0</v>
      </c>
      <c r="U74" s="87">
        <f t="shared" si="30"/>
        <v>45</v>
      </c>
      <c r="V74" s="86">
        <f t="shared" si="36"/>
        <v>0</v>
      </c>
      <c r="W74" s="87">
        <f t="shared" si="31"/>
        <v>46</v>
      </c>
      <c r="X74" s="86">
        <f t="shared" si="37"/>
        <v>0</v>
      </c>
      <c r="Y74" s="87">
        <f t="shared" si="32"/>
        <v>58</v>
      </c>
      <c r="Z74" s="86">
        <f t="shared" si="38"/>
        <v>0</v>
      </c>
      <c r="AA74" s="87">
        <f t="shared" si="33"/>
        <v>56</v>
      </c>
      <c r="AB74" s="88">
        <f t="shared" si="34"/>
        <v>0</v>
      </c>
      <c r="AC74" s="87">
        <f t="shared" si="35"/>
        <v>61</v>
      </c>
      <c r="AD74" s="732"/>
      <c r="AE74" s="740"/>
      <c r="AF74" s="739"/>
    </row>
    <row r="75" spans="1:32" ht="13.5" customHeight="1">
      <c r="A75" s="93" t="s">
        <v>170</v>
      </c>
      <c r="B75" s="94">
        <v>184</v>
      </c>
      <c r="C75" s="107" t="e">
        <f>IF(B75="","",VLOOKUP(B75,Nevezés!$C$2:$G$81,4,FALSE))</f>
        <v>#N/A</v>
      </c>
      <c r="D75" s="103" t="e">
        <f>IF(B75="","",VLOOKUP(B75,Nevezés!$C$2:$G$89,5,FALSE))</f>
        <v>#N/A</v>
      </c>
      <c r="E75" s="108" t="e">
        <f>IF(B75="","",VLOOKUP(B75,Nevezés!$C$2:$G$81,2,FALSE))</f>
        <v>#N/A</v>
      </c>
      <c r="F75" s="679"/>
      <c r="G75" s="680"/>
      <c r="H75" s="679"/>
      <c r="I75" s="680"/>
      <c r="J75" s="679"/>
      <c r="K75" s="680"/>
      <c r="L75" s="679"/>
      <c r="M75" s="680"/>
      <c r="N75" s="679"/>
      <c r="O75" s="680"/>
      <c r="P75" s="76">
        <f t="shared" si="26"/>
        <v>0</v>
      </c>
      <c r="Q75" s="77"/>
      <c r="R75" s="97">
        <f t="shared" si="27"/>
        <v>0</v>
      </c>
      <c r="S75" s="87">
        <f t="shared" si="28"/>
        <v>61</v>
      </c>
      <c r="T75" s="97">
        <f t="shared" si="29"/>
        <v>0</v>
      </c>
      <c r="U75" s="87">
        <f t="shared" si="30"/>
        <v>45</v>
      </c>
      <c r="V75" s="97">
        <f t="shared" si="36"/>
        <v>0</v>
      </c>
      <c r="W75" s="87">
        <f t="shared" si="31"/>
        <v>46</v>
      </c>
      <c r="X75" s="97">
        <f t="shared" si="37"/>
        <v>0</v>
      </c>
      <c r="Y75" s="87">
        <f t="shared" si="32"/>
        <v>58</v>
      </c>
      <c r="Z75" s="97">
        <f t="shared" si="38"/>
        <v>0</v>
      </c>
      <c r="AA75" s="87">
        <f t="shared" si="33"/>
        <v>56</v>
      </c>
      <c r="AB75" s="98">
        <f t="shared" si="34"/>
        <v>0</v>
      </c>
      <c r="AC75" s="87">
        <f t="shared" si="35"/>
        <v>61</v>
      </c>
      <c r="AD75" s="733"/>
      <c r="AE75" s="740"/>
      <c r="AF75" s="739"/>
    </row>
    <row r="76" spans="1:32" ht="13.5" customHeight="1">
      <c r="A76" s="71" t="s">
        <v>171</v>
      </c>
      <c r="B76" s="72">
        <v>191</v>
      </c>
      <c r="C76" s="99" t="e">
        <f>IF(B76="","",VLOOKUP(B76,Nevezés!$C$2:$G$81,4,FALSE))</f>
        <v>#N/A</v>
      </c>
      <c r="D76" s="100" t="e">
        <f>IF(B76="","",VLOOKUP(B76,Nevezés!$C$2:$G$89,5,FALSE))</f>
        <v>#N/A</v>
      </c>
      <c r="E76" s="101" t="e">
        <f>IF(B76="","",VLOOKUP(B76,Nevezés!$C$2:$G$81,2,FALSE))</f>
        <v>#N/A</v>
      </c>
      <c r="F76" s="679"/>
      <c r="G76" s="680"/>
      <c r="H76" s="679"/>
      <c r="I76" s="680"/>
      <c r="J76" s="679"/>
      <c r="K76" s="680"/>
      <c r="L76" s="679"/>
      <c r="M76" s="680"/>
      <c r="N76" s="679"/>
      <c r="O76" s="680"/>
      <c r="P76" s="76">
        <f t="shared" si="26"/>
        <v>0</v>
      </c>
      <c r="Q76" s="77"/>
      <c r="R76" s="78">
        <f t="shared" si="27"/>
        <v>0</v>
      </c>
      <c r="S76" s="87">
        <f t="shared" si="28"/>
        <v>61</v>
      </c>
      <c r="T76" s="78">
        <f t="shared" si="29"/>
        <v>0</v>
      </c>
      <c r="U76" s="87">
        <f t="shared" si="30"/>
        <v>45</v>
      </c>
      <c r="V76" s="78">
        <f t="shared" si="36"/>
        <v>0</v>
      </c>
      <c r="W76" s="87">
        <f t="shared" si="31"/>
        <v>46</v>
      </c>
      <c r="X76" s="78">
        <f t="shared" si="37"/>
        <v>0</v>
      </c>
      <c r="Y76" s="87">
        <f t="shared" si="32"/>
        <v>58</v>
      </c>
      <c r="Z76" s="78">
        <f t="shared" si="38"/>
        <v>0</v>
      </c>
      <c r="AA76" s="87">
        <f t="shared" si="33"/>
        <v>56</v>
      </c>
      <c r="AB76" s="80">
        <f t="shared" si="34"/>
        <v>0</v>
      </c>
      <c r="AC76" s="87">
        <f t="shared" si="35"/>
        <v>61</v>
      </c>
      <c r="AD76" s="726">
        <f>SUM(AB76:AB79)</f>
        <v>0</v>
      </c>
      <c r="AE76" s="740">
        <f>IF(AD76="","",RANK(AD76,$AD$4:$AD$91))</f>
        <v>17</v>
      </c>
      <c r="AF76" s="738">
        <f>P76+P77+P78+P79</f>
        <v>0</v>
      </c>
    </row>
    <row r="77" spans="1:32" ht="13.5" customHeight="1">
      <c r="A77" s="81" t="s">
        <v>171</v>
      </c>
      <c r="B77" s="82">
        <v>192</v>
      </c>
      <c r="C77" s="102" t="e">
        <f>IF(B77="","",VLOOKUP(B77,Nevezés!$C$2:$G$81,4,FALSE))</f>
        <v>#N/A</v>
      </c>
      <c r="D77" s="103" t="e">
        <f>IF(B77="","",VLOOKUP(B77,Nevezés!$C$2:$G$89,5,FALSE))</f>
        <v>#N/A</v>
      </c>
      <c r="E77" s="104" t="e">
        <f>IF(B77="","",VLOOKUP(B77,Nevezés!$C$2:$G$81,2,FALSE))</f>
        <v>#N/A</v>
      </c>
      <c r="F77" s="679"/>
      <c r="G77" s="680"/>
      <c r="H77" s="679"/>
      <c r="I77" s="680"/>
      <c r="J77" s="679"/>
      <c r="K77" s="680"/>
      <c r="L77" s="679"/>
      <c r="M77" s="680"/>
      <c r="N77" s="679"/>
      <c r="O77" s="680"/>
      <c r="P77" s="76">
        <f t="shared" si="26"/>
        <v>0</v>
      </c>
      <c r="Q77" s="77"/>
      <c r="R77" s="86">
        <f t="shared" si="27"/>
        <v>0</v>
      </c>
      <c r="S77" s="87">
        <f t="shared" si="28"/>
        <v>61</v>
      </c>
      <c r="T77" s="86">
        <f t="shared" si="29"/>
        <v>0</v>
      </c>
      <c r="U77" s="87">
        <f t="shared" si="30"/>
        <v>45</v>
      </c>
      <c r="V77" s="86">
        <f t="shared" si="36"/>
        <v>0</v>
      </c>
      <c r="W77" s="87">
        <f t="shared" si="31"/>
        <v>46</v>
      </c>
      <c r="X77" s="86">
        <f t="shared" si="37"/>
        <v>0</v>
      </c>
      <c r="Y77" s="87">
        <f t="shared" si="32"/>
        <v>58</v>
      </c>
      <c r="Z77" s="86">
        <f t="shared" si="38"/>
        <v>0</v>
      </c>
      <c r="AA77" s="87">
        <f t="shared" si="33"/>
        <v>56</v>
      </c>
      <c r="AB77" s="88">
        <f t="shared" si="34"/>
        <v>0</v>
      </c>
      <c r="AC77" s="87">
        <f t="shared" si="35"/>
        <v>61</v>
      </c>
      <c r="AD77" s="726"/>
      <c r="AE77" s="740"/>
      <c r="AF77" s="739"/>
    </row>
    <row r="78" spans="1:32" ht="13.5" customHeight="1">
      <c r="A78" s="89" t="s">
        <v>171</v>
      </c>
      <c r="B78" s="90">
        <v>193</v>
      </c>
      <c r="C78" s="105" t="e">
        <f>IF(B78="","",VLOOKUP(B78,Nevezés!$C$2:$G$81,4,FALSE))</f>
        <v>#N/A</v>
      </c>
      <c r="D78" s="103" t="e">
        <f>IF(B78="","",VLOOKUP(B78,Nevezés!$C$2:$G$89,5,FALSE))</f>
        <v>#N/A</v>
      </c>
      <c r="E78" s="106" t="e">
        <f>IF(B78="","",VLOOKUP(B78,Nevezés!$C$2:$G$81,2,FALSE))</f>
        <v>#N/A</v>
      </c>
      <c r="F78" s="679"/>
      <c r="G78" s="680"/>
      <c r="H78" s="679"/>
      <c r="I78" s="680"/>
      <c r="J78" s="679"/>
      <c r="K78" s="680"/>
      <c r="L78" s="679"/>
      <c r="M78" s="680"/>
      <c r="N78" s="679"/>
      <c r="O78" s="680"/>
      <c r="P78" s="76">
        <f t="shared" si="26"/>
        <v>0</v>
      </c>
      <c r="Q78" s="77"/>
      <c r="R78" s="86">
        <f t="shared" si="27"/>
        <v>0</v>
      </c>
      <c r="S78" s="87">
        <f t="shared" si="28"/>
        <v>61</v>
      </c>
      <c r="T78" s="86">
        <f t="shared" si="29"/>
        <v>0</v>
      </c>
      <c r="U78" s="87">
        <f t="shared" si="30"/>
        <v>45</v>
      </c>
      <c r="V78" s="86">
        <f t="shared" si="36"/>
        <v>0</v>
      </c>
      <c r="W78" s="87">
        <f t="shared" si="31"/>
        <v>46</v>
      </c>
      <c r="X78" s="86">
        <f t="shared" si="37"/>
        <v>0</v>
      </c>
      <c r="Y78" s="87">
        <f t="shared" si="32"/>
        <v>58</v>
      </c>
      <c r="Z78" s="86">
        <f t="shared" si="38"/>
        <v>0</v>
      </c>
      <c r="AA78" s="87">
        <f t="shared" si="33"/>
        <v>56</v>
      </c>
      <c r="AB78" s="88">
        <f t="shared" si="34"/>
        <v>0</v>
      </c>
      <c r="AC78" s="87">
        <f t="shared" si="35"/>
        <v>61</v>
      </c>
      <c r="AD78" s="726"/>
      <c r="AE78" s="740"/>
      <c r="AF78" s="739"/>
    </row>
    <row r="79" spans="1:32" ht="13.5" customHeight="1">
      <c r="A79" s="93" t="s">
        <v>171</v>
      </c>
      <c r="B79" s="94">
        <v>194</v>
      </c>
      <c r="C79" s="107" t="e">
        <f>IF(B79="","",VLOOKUP(B79,Nevezés!$C$2:$G$81,4,FALSE))</f>
        <v>#N/A</v>
      </c>
      <c r="D79" s="103" t="e">
        <f>IF(B79="","",VLOOKUP(B79,Nevezés!$C$2:$G$89,5,FALSE))</f>
        <v>#N/A</v>
      </c>
      <c r="E79" s="108" t="e">
        <f>IF(B79="","",VLOOKUP(B79,Nevezés!$C$2:$G$81,2,FALSE))</f>
        <v>#N/A</v>
      </c>
      <c r="F79" s="679"/>
      <c r="G79" s="680"/>
      <c r="H79" s="679"/>
      <c r="I79" s="680"/>
      <c r="J79" s="679"/>
      <c r="K79" s="680"/>
      <c r="L79" s="679"/>
      <c r="M79" s="680"/>
      <c r="N79" s="679"/>
      <c r="O79" s="680"/>
      <c r="P79" s="76">
        <f t="shared" si="26"/>
        <v>0</v>
      </c>
      <c r="Q79" s="77"/>
      <c r="R79" s="97">
        <f t="shared" si="27"/>
        <v>0</v>
      </c>
      <c r="S79" s="87">
        <f t="shared" si="28"/>
        <v>61</v>
      </c>
      <c r="T79" s="97">
        <f t="shared" si="29"/>
        <v>0</v>
      </c>
      <c r="U79" s="87">
        <f t="shared" si="30"/>
        <v>45</v>
      </c>
      <c r="V79" s="97">
        <f t="shared" si="36"/>
        <v>0</v>
      </c>
      <c r="W79" s="87">
        <f t="shared" si="31"/>
        <v>46</v>
      </c>
      <c r="X79" s="97">
        <f t="shared" si="37"/>
        <v>0</v>
      </c>
      <c r="Y79" s="87">
        <f t="shared" si="32"/>
        <v>58</v>
      </c>
      <c r="Z79" s="97">
        <f t="shared" si="38"/>
        <v>0</v>
      </c>
      <c r="AA79" s="87">
        <f t="shared" si="33"/>
        <v>56</v>
      </c>
      <c r="AB79" s="98">
        <f t="shared" si="34"/>
        <v>0</v>
      </c>
      <c r="AC79" s="87">
        <f t="shared" si="35"/>
        <v>61</v>
      </c>
      <c r="AD79" s="726"/>
      <c r="AE79" s="740"/>
      <c r="AF79" s="739"/>
    </row>
    <row r="80" spans="1:32" ht="13.5" customHeight="1">
      <c r="A80" s="71" t="s">
        <v>172</v>
      </c>
      <c r="B80" s="72">
        <v>201</v>
      </c>
      <c r="C80" s="73" t="e">
        <f>IF(B80="","",VLOOKUP(B80,Nevezés!$C$2:$G$81,4,FALSE))</f>
        <v>#N/A</v>
      </c>
      <c r="D80" s="74" t="e">
        <f>IF(B80="","",VLOOKUP(B80,Nevezés!$C$2:$G$89,5,FALSE))</f>
        <v>#N/A</v>
      </c>
      <c r="E80" s="75" t="e">
        <f>IF(B80="","",VLOOKUP(B80,Nevezés!$C$2:$G$81,2,FALSE))</f>
        <v>#N/A</v>
      </c>
      <c r="F80" s="679"/>
      <c r="G80" s="680"/>
      <c r="H80" s="679"/>
      <c r="I80" s="680"/>
      <c r="J80" s="679"/>
      <c r="K80" s="680"/>
      <c r="L80" s="679"/>
      <c r="M80" s="680"/>
      <c r="N80" s="679"/>
      <c r="O80" s="680"/>
      <c r="P80" s="76">
        <f t="shared" si="26"/>
        <v>0</v>
      </c>
      <c r="Q80" s="77"/>
      <c r="R80" s="78">
        <f t="shared" si="27"/>
        <v>0</v>
      </c>
      <c r="S80" s="87">
        <f t="shared" si="28"/>
        <v>61</v>
      </c>
      <c r="T80" s="78">
        <f t="shared" si="29"/>
        <v>0</v>
      </c>
      <c r="U80" s="87">
        <f t="shared" si="30"/>
        <v>45</v>
      </c>
      <c r="V80" s="78">
        <f t="shared" si="36"/>
        <v>0</v>
      </c>
      <c r="W80" s="87">
        <f t="shared" si="31"/>
        <v>46</v>
      </c>
      <c r="X80" s="78">
        <f t="shared" si="37"/>
        <v>0</v>
      </c>
      <c r="Y80" s="87">
        <f t="shared" si="32"/>
        <v>58</v>
      </c>
      <c r="Z80" s="78">
        <f t="shared" si="38"/>
        <v>0</v>
      </c>
      <c r="AA80" s="87">
        <f t="shared" si="33"/>
        <v>56</v>
      </c>
      <c r="AB80" s="80">
        <f t="shared" si="34"/>
        <v>0</v>
      </c>
      <c r="AC80" s="87">
        <f t="shared" si="35"/>
        <v>61</v>
      </c>
      <c r="AD80" s="731">
        <f>SUM(AB80:AB83)</f>
        <v>0</v>
      </c>
      <c r="AE80" s="740">
        <f>IF(AD80="","",RANK(AD80,$AD$4:$AD$91))</f>
        <v>17</v>
      </c>
      <c r="AF80" s="738">
        <f>P80+P81+P82+P83</f>
        <v>0</v>
      </c>
    </row>
    <row r="81" spans="1:32" ht="13.5" customHeight="1">
      <c r="A81" s="81" t="s">
        <v>172</v>
      </c>
      <c r="B81" s="82">
        <v>202</v>
      </c>
      <c r="C81" s="83" t="e">
        <f>IF(B81="","",VLOOKUP(B81,Nevezés!$C$2:$G$81,4,FALSE))</f>
        <v>#N/A</v>
      </c>
      <c r="D81" s="84" t="e">
        <f>IF(B81="","",VLOOKUP(B81,Nevezés!$C$2:$G$89,5,FALSE))</f>
        <v>#N/A</v>
      </c>
      <c r="E81" s="85" t="e">
        <f>IF(B81="","",VLOOKUP(B81,Nevezés!$C$2:$G$81,2,FALSE))</f>
        <v>#N/A</v>
      </c>
      <c r="F81" s="679"/>
      <c r="G81" s="680"/>
      <c r="H81" s="679"/>
      <c r="I81" s="680"/>
      <c r="J81" s="679"/>
      <c r="K81" s="680"/>
      <c r="L81" s="679"/>
      <c r="M81" s="680"/>
      <c r="N81" s="679"/>
      <c r="O81" s="680"/>
      <c r="P81" s="76">
        <f t="shared" si="26"/>
        <v>0</v>
      </c>
      <c r="Q81" s="77"/>
      <c r="R81" s="86">
        <f t="shared" si="27"/>
        <v>0</v>
      </c>
      <c r="S81" s="87">
        <f t="shared" si="28"/>
        <v>61</v>
      </c>
      <c r="T81" s="86">
        <f t="shared" si="29"/>
        <v>0</v>
      </c>
      <c r="U81" s="87">
        <f t="shared" si="30"/>
        <v>45</v>
      </c>
      <c r="V81" s="86">
        <f t="shared" si="36"/>
        <v>0</v>
      </c>
      <c r="W81" s="87">
        <f t="shared" si="31"/>
        <v>46</v>
      </c>
      <c r="X81" s="86">
        <f t="shared" si="37"/>
        <v>0</v>
      </c>
      <c r="Y81" s="87">
        <f t="shared" si="32"/>
        <v>58</v>
      </c>
      <c r="Z81" s="86">
        <f t="shared" si="38"/>
        <v>0</v>
      </c>
      <c r="AA81" s="87">
        <f t="shared" si="33"/>
        <v>56</v>
      </c>
      <c r="AB81" s="88">
        <f t="shared" si="34"/>
        <v>0</v>
      </c>
      <c r="AC81" s="87">
        <f t="shared" si="35"/>
        <v>61</v>
      </c>
      <c r="AD81" s="732"/>
      <c r="AE81" s="740"/>
      <c r="AF81" s="739"/>
    </row>
    <row r="82" spans="1:32" ht="13.5" customHeight="1">
      <c r="A82" s="89" t="s">
        <v>172</v>
      </c>
      <c r="B82" s="90">
        <v>203</v>
      </c>
      <c r="C82" s="91" t="e">
        <f>IF(B82="","",VLOOKUP(B82,Nevezés!$C$2:$G$81,4,FALSE))</f>
        <v>#N/A</v>
      </c>
      <c r="D82" s="84" t="e">
        <f>IF(B82="","",VLOOKUP(B82,Nevezés!$C$2:$G$89,5,FALSE))</f>
        <v>#N/A</v>
      </c>
      <c r="E82" s="92" t="e">
        <f>IF(B82="","",VLOOKUP(B82,Nevezés!$C$2:$G$81,2,FALSE))</f>
        <v>#N/A</v>
      </c>
      <c r="F82" s="679"/>
      <c r="G82" s="680"/>
      <c r="H82" s="679"/>
      <c r="I82" s="680"/>
      <c r="J82" s="679"/>
      <c r="K82" s="680"/>
      <c r="L82" s="679"/>
      <c r="M82" s="680"/>
      <c r="N82" s="679"/>
      <c r="O82" s="680"/>
      <c r="P82" s="76">
        <f t="shared" si="26"/>
        <v>0</v>
      </c>
      <c r="Q82" s="77"/>
      <c r="R82" s="86">
        <f t="shared" si="27"/>
        <v>0</v>
      </c>
      <c r="S82" s="87">
        <f t="shared" si="28"/>
        <v>61</v>
      </c>
      <c r="T82" s="86">
        <f t="shared" si="29"/>
        <v>0</v>
      </c>
      <c r="U82" s="87">
        <f t="shared" si="30"/>
        <v>45</v>
      </c>
      <c r="V82" s="86">
        <f t="shared" si="36"/>
        <v>0</v>
      </c>
      <c r="W82" s="87">
        <f t="shared" si="31"/>
        <v>46</v>
      </c>
      <c r="X82" s="86">
        <f t="shared" si="37"/>
        <v>0</v>
      </c>
      <c r="Y82" s="87">
        <f t="shared" si="32"/>
        <v>58</v>
      </c>
      <c r="Z82" s="86">
        <f t="shared" si="38"/>
        <v>0</v>
      </c>
      <c r="AA82" s="87">
        <f t="shared" si="33"/>
        <v>56</v>
      </c>
      <c r="AB82" s="88">
        <f t="shared" si="34"/>
        <v>0</v>
      </c>
      <c r="AC82" s="87">
        <f t="shared" si="35"/>
        <v>61</v>
      </c>
      <c r="AD82" s="732"/>
      <c r="AE82" s="740"/>
      <c r="AF82" s="739"/>
    </row>
    <row r="83" spans="1:32" ht="13.5" customHeight="1">
      <c r="A83" s="93" t="s">
        <v>172</v>
      </c>
      <c r="B83" s="94">
        <v>204</v>
      </c>
      <c r="C83" s="95" t="e">
        <f>IF(B83="","",VLOOKUP(B83,Nevezés!$C$2:$G$81,4,FALSE))</f>
        <v>#N/A</v>
      </c>
      <c r="D83" s="84" t="e">
        <f>IF(B83="","",VLOOKUP(B83,Nevezés!$C$2:$G$89,5,FALSE))</f>
        <v>#N/A</v>
      </c>
      <c r="E83" s="96" t="e">
        <f>IF(B83="","",VLOOKUP(B83,Nevezés!$C$2:$G$81,2,FALSE))</f>
        <v>#N/A</v>
      </c>
      <c r="F83" s="679"/>
      <c r="G83" s="680"/>
      <c r="H83" s="679"/>
      <c r="I83" s="680"/>
      <c r="J83" s="679"/>
      <c r="K83" s="680"/>
      <c r="L83" s="679"/>
      <c r="M83" s="680"/>
      <c r="N83" s="679"/>
      <c r="O83" s="680"/>
      <c r="P83" s="76">
        <f t="shared" si="26"/>
        <v>0</v>
      </c>
      <c r="Q83" s="77"/>
      <c r="R83" s="97">
        <f t="shared" si="27"/>
        <v>0</v>
      </c>
      <c r="S83" s="87">
        <f t="shared" si="28"/>
        <v>61</v>
      </c>
      <c r="T83" s="97">
        <f t="shared" si="29"/>
        <v>0</v>
      </c>
      <c r="U83" s="87">
        <f t="shared" si="30"/>
        <v>45</v>
      </c>
      <c r="V83" s="97">
        <f t="shared" si="36"/>
        <v>0</v>
      </c>
      <c r="W83" s="87">
        <f t="shared" si="31"/>
        <v>46</v>
      </c>
      <c r="X83" s="97">
        <f t="shared" si="37"/>
        <v>0</v>
      </c>
      <c r="Y83" s="87">
        <f t="shared" si="32"/>
        <v>58</v>
      </c>
      <c r="Z83" s="97">
        <f t="shared" si="38"/>
        <v>0</v>
      </c>
      <c r="AA83" s="87">
        <f t="shared" si="33"/>
        <v>56</v>
      </c>
      <c r="AB83" s="98">
        <f t="shared" si="34"/>
        <v>0</v>
      </c>
      <c r="AC83" s="87">
        <f t="shared" si="35"/>
        <v>61</v>
      </c>
      <c r="AD83" s="733"/>
      <c r="AE83" s="740"/>
      <c r="AF83" s="739"/>
    </row>
    <row r="84" spans="1:32" ht="13.5" customHeight="1">
      <c r="A84" s="71" t="s">
        <v>173</v>
      </c>
      <c r="B84" s="72">
        <v>211</v>
      </c>
      <c r="C84" s="99" t="e">
        <f>IF(B84="","",VLOOKUP(B84,Nevezés!$C$2:$G$81,4,FALSE))</f>
        <v>#N/A</v>
      </c>
      <c r="D84" s="100" t="e">
        <f>IF(B84="","",VLOOKUP(B84,Nevezés!$C$2:$G$89,5,FALSE))</f>
        <v>#N/A</v>
      </c>
      <c r="E84" s="101" t="e">
        <f>IF(B84="","",VLOOKUP(B84,Nevezés!$C$2:$G$81,2,FALSE))</f>
        <v>#N/A</v>
      </c>
      <c r="F84" s="679"/>
      <c r="G84" s="680"/>
      <c r="H84" s="679"/>
      <c r="I84" s="680"/>
      <c r="J84" s="679"/>
      <c r="K84" s="680"/>
      <c r="L84" s="679"/>
      <c r="M84" s="680"/>
      <c r="N84" s="679"/>
      <c r="O84" s="680"/>
      <c r="P84" s="76">
        <f t="shared" si="26"/>
        <v>0</v>
      </c>
      <c r="Q84" s="77"/>
      <c r="R84" s="78">
        <f t="shared" si="27"/>
        <v>0</v>
      </c>
      <c r="S84" s="87">
        <f t="shared" si="28"/>
        <v>61</v>
      </c>
      <c r="T84" s="78">
        <f t="shared" si="29"/>
        <v>0</v>
      </c>
      <c r="U84" s="87">
        <f t="shared" si="30"/>
        <v>45</v>
      </c>
      <c r="V84" s="78">
        <f t="shared" si="36"/>
        <v>0</v>
      </c>
      <c r="W84" s="87">
        <f t="shared" si="31"/>
        <v>46</v>
      </c>
      <c r="X84" s="78">
        <f t="shared" si="37"/>
        <v>0</v>
      </c>
      <c r="Y84" s="87">
        <f t="shared" si="32"/>
        <v>58</v>
      </c>
      <c r="Z84" s="78">
        <f t="shared" si="38"/>
        <v>0</v>
      </c>
      <c r="AA84" s="87">
        <f t="shared" si="33"/>
        <v>56</v>
      </c>
      <c r="AB84" s="80">
        <f t="shared" si="34"/>
        <v>0</v>
      </c>
      <c r="AC84" s="87">
        <f t="shared" si="35"/>
        <v>61</v>
      </c>
      <c r="AD84" s="726">
        <f>SUM(AB84:AB87)</f>
        <v>0</v>
      </c>
      <c r="AE84" s="740">
        <f>IF(AD84="","",RANK(AD84,$AD$4:$AD$91))</f>
        <v>17</v>
      </c>
      <c r="AF84" s="738">
        <f>P84+P85+P86+P87</f>
        <v>0</v>
      </c>
    </row>
    <row r="85" spans="1:32" ht="13.5" customHeight="1">
      <c r="A85" s="81" t="s">
        <v>173</v>
      </c>
      <c r="B85" s="82">
        <v>212</v>
      </c>
      <c r="C85" s="102" t="e">
        <f>IF(B85="","",VLOOKUP(B85,Nevezés!$C$2:$G$81,4,FALSE))</f>
        <v>#N/A</v>
      </c>
      <c r="D85" s="103" t="e">
        <f>IF(B85="","",VLOOKUP(B85,Nevezés!$C$2:$G$89,5,FALSE))</f>
        <v>#N/A</v>
      </c>
      <c r="E85" s="104" t="e">
        <f>IF(B85="","",VLOOKUP(B85,Nevezés!$C$2:$G$81,2,FALSE))</f>
        <v>#N/A</v>
      </c>
      <c r="F85" s="679"/>
      <c r="G85" s="680"/>
      <c r="H85" s="679"/>
      <c r="I85" s="680"/>
      <c r="J85" s="679"/>
      <c r="K85" s="680"/>
      <c r="L85" s="679"/>
      <c r="M85" s="680"/>
      <c r="N85" s="679"/>
      <c r="O85" s="680"/>
      <c r="P85" s="76">
        <f t="shared" si="26"/>
        <v>0</v>
      </c>
      <c r="Q85" s="77"/>
      <c r="R85" s="86">
        <f t="shared" si="27"/>
        <v>0</v>
      </c>
      <c r="S85" s="87">
        <f t="shared" si="28"/>
        <v>61</v>
      </c>
      <c r="T85" s="86">
        <f t="shared" si="29"/>
        <v>0</v>
      </c>
      <c r="U85" s="87">
        <f t="shared" si="30"/>
        <v>45</v>
      </c>
      <c r="V85" s="86">
        <f t="shared" si="36"/>
        <v>0</v>
      </c>
      <c r="W85" s="87">
        <f t="shared" si="31"/>
        <v>46</v>
      </c>
      <c r="X85" s="86">
        <f t="shared" si="37"/>
        <v>0</v>
      </c>
      <c r="Y85" s="87">
        <f t="shared" si="32"/>
        <v>58</v>
      </c>
      <c r="Z85" s="86">
        <f t="shared" si="38"/>
        <v>0</v>
      </c>
      <c r="AA85" s="87">
        <f t="shared" si="33"/>
        <v>56</v>
      </c>
      <c r="AB85" s="88">
        <f t="shared" si="34"/>
        <v>0</v>
      </c>
      <c r="AC85" s="87">
        <f t="shared" si="35"/>
        <v>61</v>
      </c>
      <c r="AD85" s="723"/>
      <c r="AE85" s="740"/>
      <c r="AF85" s="739"/>
    </row>
    <row r="86" spans="1:32" ht="13.5" customHeight="1">
      <c r="A86" s="89" t="s">
        <v>173</v>
      </c>
      <c r="B86" s="90">
        <v>213</v>
      </c>
      <c r="C86" s="105" t="e">
        <f>IF(B86="","",VLOOKUP(B86,Nevezés!$C$2:$G$81,4,FALSE))</f>
        <v>#N/A</v>
      </c>
      <c r="D86" s="103" t="e">
        <f>IF(B86="","",VLOOKUP(B86,Nevezés!$C$2:$G$89,5,FALSE))</f>
        <v>#N/A</v>
      </c>
      <c r="E86" s="106" t="e">
        <f>IF(B86="","",VLOOKUP(B86,Nevezés!$C$2:$G$81,2,FALSE))</f>
        <v>#N/A</v>
      </c>
      <c r="F86" s="679"/>
      <c r="G86" s="680"/>
      <c r="H86" s="679"/>
      <c r="I86" s="680"/>
      <c r="J86" s="679"/>
      <c r="K86" s="680"/>
      <c r="L86" s="679"/>
      <c r="M86" s="680"/>
      <c r="N86" s="679"/>
      <c r="O86" s="680"/>
      <c r="P86" s="76">
        <f t="shared" si="26"/>
        <v>0</v>
      </c>
      <c r="Q86" s="77"/>
      <c r="R86" s="86">
        <f t="shared" si="27"/>
        <v>0</v>
      </c>
      <c r="S86" s="87">
        <f t="shared" si="28"/>
        <v>61</v>
      </c>
      <c r="T86" s="86">
        <f t="shared" si="29"/>
        <v>0</v>
      </c>
      <c r="U86" s="87">
        <f t="shared" si="30"/>
        <v>45</v>
      </c>
      <c r="V86" s="86">
        <f t="shared" si="36"/>
        <v>0</v>
      </c>
      <c r="W86" s="87">
        <f t="shared" si="31"/>
        <v>46</v>
      </c>
      <c r="X86" s="86">
        <f t="shared" si="37"/>
        <v>0</v>
      </c>
      <c r="Y86" s="87">
        <f t="shared" si="32"/>
        <v>58</v>
      </c>
      <c r="Z86" s="86">
        <f t="shared" si="38"/>
        <v>0</v>
      </c>
      <c r="AA86" s="87">
        <f t="shared" si="33"/>
        <v>56</v>
      </c>
      <c r="AB86" s="88">
        <f t="shared" si="34"/>
        <v>0</v>
      </c>
      <c r="AC86" s="87">
        <f t="shared" si="35"/>
        <v>61</v>
      </c>
      <c r="AD86" s="724"/>
      <c r="AE86" s="740"/>
      <c r="AF86" s="739"/>
    </row>
    <row r="87" spans="1:32" ht="13.5" customHeight="1">
      <c r="A87" s="93" t="s">
        <v>173</v>
      </c>
      <c r="B87" s="94">
        <v>214</v>
      </c>
      <c r="C87" s="107" t="e">
        <f>IF(B87="","",VLOOKUP(B87,Nevezés!$C$2:$G$81,4,FALSE))</f>
        <v>#N/A</v>
      </c>
      <c r="D87" s="103" t="e">
        <f>IF(B87="","",VLOOKUP(B87,Nevezés!$C$2:$G$89,5,FALSE))</f>
        <v>#N/A</v>
      </c>
      <c r="E87" s="108" t="e">
        <f>IF(B87="","",VLOOKUP(B87,Nevezés!$C$2:$G$81,2,FALSE))</f>
        <v>#N/A</v>
      </c>
      <c r="F87" s="679"/>
      <c r="G87" s="680"/>
      <c r="H87" s="679"/>
      <c r="I87" s="680"/>
      <c r="J87" s="679"/>
      <c r="K87" s="680"/>
      <c r="L87" s="679"/>
      <c r="M87" s="680"/>
      <c r="N87" s="679"/>
      <c r="O87" s="680"/>
      <c r="P87" s="76">
        <f t="shared" si="26"/>
        <v>0</v>
      </c>
      <c r="Q87" s="77"/>
      <c r="R87" s="97">
        <f t="shared" si="27"/>
        <v>0</v>
      </c>
      <c r="S87" s="87">
        <f t="shared" si="28"/>
        <v>61</v>
      </c>
      <c r="T87" s="97">
        <f t="shared" si="29"/>
        <v>0</v>
      </c>
      <c r="U87" s="87">
        <f t="shared" si="30"/>
        <v>45</v>
      </c>
      <c r="V87" s="97">
        <f t="shared" si="36"/>
        <v>0</v>
      </c>
      <c r="W87" s="87">
        <f t="shared" si="31"/>
        <v>46</v>
      </c>
      <c r="X87" s="97">
        <f t="shared" si="37"/>
        <v>0</v>
      </c>
      <c r="Y87" s="87">
        <f t="shared" si="32"/>
        <v>58</v>
      </c>
      <c r="Z87" s="97">
        <f t="shared" si="38"/>
        <v>0</v>
      </c>
      <c r="AA87" s="87">
        <f t="shared" si="33"/>
        <v>56</v>
      </c>
      <c r="AB87" s="98">
        <f t="shared" si="34"/>
        <v>0</v>
      </c>
      <c r="AC87" s="87">
        <f t="shared" si="35"/>
        <v>61</v>
      </c>
      <c r="AD87" s="725"/>
      <c r="AE87" s="740"/>
      <c r="AF87" s="739"/>
    </row>
    <row r="88" spans="1:32" ht="13.5" customHeight="1">
      <c r="A88" s="71" t="s">
        <v>174</v>
      </c>
      <c r="B88" s="72">
        <v>221</v>
      </c>
      <c r="C88" s="99" t="e">
        <f>IF(B88="","",VLOOKUP(B88,Nevezés!$C$2:$G$81,4,FALSE))</f>
        <v>#N/A</v>
      </c>
      <c r="D88" s="100" t="e">
        <f>IF(B88="","",VLOOKUP(B88,Nevezés!$C$2:$G$89,5,FALSE))</f>
        <v>#N/A</v>
      </c>
      <c r="E88" s="109"/>
      <c r="F88" s="679"/>
      <c r="G88" s="680"/>
      <c r="H88" s="679"/>
      <c r="I88" s="680"/>
      <c r="J88" s="679"/>
      <c r="K88" s="680"/>
      <c r="L88" s="679"/>
      <c r="M88" s="680"/>
      <c r="N88" s="679"/>
      <c r="O88" s="680"/>
      <c r="P88" s="76">
        <f t="shared" si="26"/>
        <v>0</v>
      </c>
      <c r="Q88" s="110"/>
      <c r="R88" s="78">
        <f t="shared" si="27"/>
        <v>0</v>
      </c>
      <c r="S88" s="87">
        <f t="shared" si="28"/>
        <v>61</v>
      </c>
      <c r="T88" s="78">
        <f t="shared" si="29"/>
        <v>0</v>
      </c>
      <c r="U88" s="87">
        <f t="shared" si="30"/>
        <v>45</v>
      </c>
      <c r="V88" s="78">
        <f t="shared" si="36"/>
        <v>0</v>
      </c>
      <c r="W88" s="87">
        <f t="shared" si="31"/>
        <v>46</v>
      </c>
      <c r="X88" s="78">
        <f t="shared" si="37"/>
        <v>0</v>
      </c>
      <c r="Y88" s="87">
        <f t="shared" si="32"/>
        <v>58</v>
      </c>
      <c r="Z88" s="78">
        <f t="shared" si="38"/>
        <v>0</v>
      </c>
      <c r="AA88" s="87">
        <f t="shared" si="33"/>
        <v>56</v>
      </c>
      <c r="AB88" s="80">
        <f t="shared" si="34"/>
        <v>0</v>
      </c>
      <c r="AC88" s="87">
        <f t="shared" si="35"/>
        <v>61</v>
      </c>
      <c r="AD88" s="726">
        <f>SUM(AB88:AB91)</f>
        <v>0</v>
      </c>
      <c r="AE88" s="740">
        <f>IF(AD88="","",RANK(AD88,$AD$4:$AD$91))</f>
        <v>17</v>
      </c>
      <c r="AF88" s="738">
        <f>P88+P89+P90+P91</f>
        <v>0</v>
      </c>
    </row>
    <row r="89" spans="1:32" ht="13.5" customHeight="1">
      <c r="A89" s="81" t="s">
        <v>174</v>
      </c>
      <c r="B89" s="82">
        <v>222</v>
      </c>
      <c r="C89" s="102" t="e">
        <f>IF(B89="","",VLOOKUP(B89,Nevezés!$C$2:$G$81,4,FALSE))</f>
        <v>#N/A</v>
      </c>
      <c r="D89" s="103" t="e">
        <f>IF(B89="","",VLOOKUP(B89,Nevezés!$C$2:$G$89,5,FALSE))</f>
        <v>#N/A</v>
      </c>
      <c r="E89" s="106"/>
      <c r="F89" s="679"/>
      <c r="G89" s="680"/>
      <c r="H89" s="679"/>
      <c r="I89" s="680"/>
      <c r="J89" s="679"/>
      <c r="K89" s="680"/>
      <c r="L89" s="679"/>
      <c r="M89" s="680"/>
      <c r="N89" s="679"/>
      <c r="O89" s="680"/>
      <c r="P89" s="76">
        <f t="shared" si="26"/>
        <v>0</v>
      </c>
      <c r="Q89" s="110"/>
      <c r="R89" s="86">
        <f t="shared" si="27"/>
        <v>0</v>
      </c>
      <c r="S89" s="87">
        <f t="shared" si="28"/>
        <v>61</v>
      </c>
      <c r="T89" s="86">
        <f t="shared" si="29"/>
        <v>0</v>
      </c>
      <c r="U89" s="87">
        <f t="shared" si="30"/>
        <v>45</v>
      </c>
      <c r="V89" s="86">
        <f t="shared" si="36"/>
        <v>0</v>
      </c>
      <c r="W89" s="87">
        <f t="shared" si="31"/>
        <v>46</v>
      </c>
      <c r="X89" s="86">
        <f t="shared" si="37"/>
        <v>0</v>
      </c>
      <c r="Y89" s="87">
        <f t="shared" si="32"/>
        <v>58</v>
      </c>
      <c r="Z89" s="86">
        <f t="shared" si="38"/>
        <v>0</v>
      </c>
      <c r="AA89" s="87">
        <f t="shared" si="33"/>
        <v>56</v>
      </c>
      <c r="AB89" s="88">
        <f t="shared" si="34"/>
        <v>0</v>
      </c>
      <c r="AC89" s="87">
        <f t="shared" si="35"/>
        <v>61</v>
      </c>
      <c r="AD89" s="726"/>
      <c r="AE89" s="740"/>
      <c r="AF89" s="739"/>
    </row>
    <row r="90" spans="1:32" ht="13.5" customHeight="1">
      <c r="A90" s="89" t="s">
        <v>174</v>
      </c>
      <c r="B90" s="90">
        <v>223</v>
      </c>
      <c r="C90" s="105" t="e">
        <f>IF(B90="","",VLOOKUP(B90,Nevezés!$C$2:$G$81,4,FALSE))</f>
        <v>#N/A</v>
      </c>
      <c r="D90" s="103" t="e">
        <f>IF(B90="","",VLOOKUP(B90,Nevezés!$C$2:$G$89,5,FALSE))</f>
        <v>#N/A</v>
      </c>
      <c r="E90" s="106"/>
      <c r="F90" s="679"/>
      <c r="G90" s="680"/>
      <c r="H90" s="679"/>
      <c r="I90" s="680"/>
      <c r="J90" s="679"/>
      <c r="K90" s="680"/>
      <c r="L90" s="679"/>
      <c r="M90" s="680"/>
      <c r="N90" s="679"/>
      <c r="O90" s="680"/>
      <c r="P90" s="76">
        <f t="shared" si="26"/>
        <v>0</v>
      </c>
      <c r="Q90" s="110"/>
      <c r="R90" s="86">
        <f t="shared" si="27"/>
        <v>0</v>
      </c>
      <c r="S90" s="87">
        <f t="shared" si="28"/>
        <v>61</v>
      </c>
      <c r="T90" s="86">
        <f t="shared" si="29"/>
        <v>0</v>
      </c>
      <c r="U90" s="87">
        <f t="shared" si="30"/>
        <v>45</v>
      </c>
      <c r="V90" s="86">
        <f t="shared" si="36"/>
        <v>0</v>
      </c>
      <c r="W90" s="87">
        <f t="shared" si="31"/>
        <v>46</v>
      </c>
      <c r="X90" s="86">
        <f t="shared" si="37"/>
        <v>0</v>
      </c>
      <c r="Y90" s="87">
        <f t="shared" si="32"/>
        <v>58</v>
      </c>
      <c r="Z90" s="86">
        <f t="shared" si="38"/>
        <v>0</v>
      </c>
      <c r="AA90" s="87">
        <f t="shared" si="33"/>
        <v>56</v>
      </c>
      <c r="AB90" s="88">
        <f t="shared" si="34"/>
        <v>0</v>
      </c>
      <c r="AC90" s="87">
        <f t="shared" si="35"/>
        <v>61</v>
      </c>
      <c r="AD90" s="726"/>
      <c r="AE90" s="740"/>
      <c r="AF90" s="739"/>
    </row>
    <row r="91" spans="1:32" ht="13.5" customHeight="1">
      <c r="A91" s="93" t="s">
        <v>174</v>
      </c>
      <c r="B91" s="94">
        <v>224</v>
      </c>
      <c r="C91" s="107" t="e">
        <f>IF(B91="","",VLOOKUP(B91,Nevezés!$C$2:$G$81,4,FALSE))</f>
        <v>#N/A</v>
      </c>
      <c r="D91" s="103" t="e">
        <f>IF(B91="","",VLOOKUP(B91,Nevezés!$C$2:$G$89,5,FALSE))</f>
        <v>#N/A</v>
      </c>
      <c r="E91" s="106"/>
      <c r="F91" s="679"/>
      <c r="G91" s="680"/>
      <c r="H91" s="679"/>
      <c r="I91" s="680"/>
      <c r="J91" s="679"/>
      <c r="K91" s="680"/>
      <c r="L91" s="679"/>
      <c r="M91" s="680"/>
      <c r="N91" s="679"/>
      <c r="O91" s="680"/>
      <c r="P91" s="76">
        <f t="shared" si="26"/>
        <v>0</v>
      </c>
      <c r="Q91" s="111"/>
      <c r="R91" s="97">
        <f t="shared" si="27"/>
        <v>0</v>
      </c>
      <c r="S91" s="112">
        <f t="shared" si="28"/>
        <v>61</v>
      </c>
      <c r="T91" s="97">
        <f t="shared" si="29"/>
        <v>0</v>
      </c>
      <c r="U91" s="112">
        <f t="shared" si="30"/>
        <v>45</v>
      </c>
      <c r="V91" s="97">
        <f t="shared" si="36"/>
        <v>0</v>
      </c>
      <c r="W91" s="112">
        <f t="shared" si="31"/>
        <v>46</v>
      </c>
      <c r="X91" s="97">
        <f t="shared" si="37"/>
        <v>0</v>
      </c>
      <c r="Y91" s="112">
        <f t="shared" si="32"/>
        <v>58</v>
      </c>
      <c r="Z91" s="97">
        <f t="shared" si="38"/>
        <v>0</v>
      </c>
      <c r="AA91" s="112">
        <f t="shared" si="33"/>
        <v>56</v>
      </c>
      <c r="AB91" s="98">
        <f t="shared" si="34"/>
        <v>0</v>
      </c>
      <c r="AC91" s="112">
        <f t="shared" si="35"/>
        <v>61</v>
      </c>
      <c r="AD91" s="726"/>
      <c r="AE91" s="740"/>
      <c r="AF91" s="739"/>
    </row>
  </sheetData>
  <sheetProtection password="E074" sheet="1" objects="1" scenarios="1"/>
  <mergeCells count="68">
    <mergeCell ref="AF88:AF91"/>
    <mergeCell ref="AD84:AD87"/>
    <mergeCell ref="AF76:AF79"/>
    <mergeCell ref="AE84:AE87"/>
    <mergeCell ref="AD88:AD91"/>
    <mergeCell ref="AF80:AF83"/>
    <mergeCell ref="AE88:AE91"/>
    <mergeCell ref="AF84:AF87"/>
    <mergeCell ref="AD76:AD79"/>
    <mergeCell ref="AE76:AE79"/>
    <mergeCell ref="F1:P1"/>
    <mergeCell ref="AF60:AF63"/>
    <mergeCell ref="AF64:AF67"/>
    <mergeCell ref="AE68:AE71"/>
    <mergeCell ref="AD60:AD63"/>
    <mergeCell ref="AF56:AF59"/>
    <mergeCell ref="AE60:AE63"/>
    <mergeCell ref="AD64:AD67"/>
    <mergeCell ref="AE64:AE67"/>
    <mergeCell ref="AD52:AD55"/>
    <mergeCell ref="AD80:AD83"/>
    <mergeCell ref="AF72:AF75"/>
    <mergeCell ref="AE80:AE83"/>
    <mergeCell ref="AD68:AD71"/>
    <mergeCell ref="AD72:AD75"/>
    <mergeCell ref="AE72:AE75"/>
    <mergeCell ref="AF68:AF71"/>
    <mergeCell ref="AE52:AE55"/>
    <mergeCell ref="AD56:AD59"/>
    <mergeCell ref="AF52:AF55"/>
    <mergeCell ref="AE56:AE59"/>
    <mergeCell ref="AD44:AD47"/>
    <mergeCell ref="AF40:AF43"/>
    <mergeCell ref="AE44:AE47"/>
    <mergeCell ref="AD48:AD51"/>
    <mergeCell ref="AF44:AF47"/>
    <mergeCell ref="AE48:AE51"/>
    <mergeCell ref="AF48:AF51"/>
    <mergeCell ref="AD36:AD39"/>
    <mergeCell ref="AF32:AF35"/>
    <mergeCell ref="AE36:AE39"/>
    <mergeCell ref="AD40:AD43"/>
    <mergeCell ref="AF36:AF39"/>
    <mergeCell ref="AE40:AE43"/>
    <mergeCell ref="AD28:AD31"/>
    <mergeCell ref="AF24:AF27"/>
    <mergeCell ref="AE28:AE31"/>
    <mergeCell ref="AD32:AD35"/>
    <mergeCell ref="AF28:AF31"/>
    <mergeCell ref="AE32:AE35"/>
    <mergeCell ref="AD24:AD27"/>
    <mergeCell ref="AF20:AF23"/>
    <mergeCell ref="AE24:AE27"/>
    <mergeCell ref="AD12:AD15"/>
    <mergeCell ref="AD20:AD23"/>
    <mergeCell ref="AF12:AF15"/>
    <mergeCell ref="AF16:AF19"/>
    <mergeCell ref="AE20:AE23"/>
    <mergeCell ref="R1:AE1"/>
    <mergeCell ref="AE16:AE19"/>
    <mergeCell ref="AE4:AE7"/>
    <mergeCell ref="AD8:AD11"/>
    <mergeCell ref="AD4:AD7"/>
    <mergeCell ref="AE8:AE11"/>
    <mergeCell ref="AF4:AF7"/>
    <mergeCell ref="AE12:AE15"/>
    <mergeCell ref="AD16:AD19"/>
    <mergeCell ref="AF8:AF11"/>
  </mergeCells>
  <conditionalFormatting sqref="R4:AF4 R5:AC9 AE5:AF7 AD8:AF8 AD9 AF9:AF11 R10:AD12 AE12:AF12 R13:AC17 AF13:AF15 AD16:AF16 AD17 AF17:AF19 R18:AD24 AE20:AF20 AF21:AF23 AE24:AF24 R25:AD29 AF25:AF27 AE28:AF28 AF29:AF31 R30:AD36 AE32:AF32 AF33:AF35 AE36:AF36 R37:AD41 AF37:AF39 AE40:AF40 AF41:AF43 R42:AD52 AE44:AF48 AF49:AF51 AE52:AF52 R53:AF56 R57:AD69 AF57:AF59 AE60:AF68 AF69:AF71 R70:AD76 AE72:AF72 AF73:AF75 AE76:AF76 R77:AD81 AF77:AF79 AE80:AF80 AF81:AF83 R82:AD84 AE84:AF84 R85:AC89 AF85:AF87 AD88:AF88 AD89 AF89:AF91 R90:AD91">
    <cfRule type="cellIs" priority="1" dxfId="3" operator="equal" stopIfTrue="1">
      <formula>1</formula>
    </cfRule>
    <cfRule type="cellIs" priority="2" dxfId="3" operator="equal" stopIfTrue="1">
      <formula>2</formula>
    </cfRule>
    <cfRule type="cellIs" priority="3" dxfId="3" operator="equal" stopIfTrue="1">
      <formula>3</formula>
    </cfRule>
  </conditionalFormatting>
  <printOptions/>
  <pageMargins left="0.7875" right="0.354861" top="0.577083" bottom="0.576389" header="0.511806" footer="0.511806"/>
  <pageSetup horizontalDpi="600" verticalDpi="600" orientation="portrait" scale="85"/>
  <headerFooter alignWithMargins="0">
    <oddFooter>&amp;C000000&amp;P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O93"/>
  <sheetViews>
    <sheetView showGridLines="0" tabSelected="1" workbookViewId="0" topLeftCell="A1">
      <pane ySplit="1" topLeftCell="BM2" activePane="bottomLeft" state="frozen"/>
      <selection pane="topLeft" activeCell="M41" sqref="M41"/>
      <selection pane="bottomLeft" activeCell="C4" sqref="C4"/>
    </sheetView>
  </sheetViews>
  <sheetFormatPr defaultColWidth="8.8515625" defaultRowHeight="14.25" customHeight="1"/>
  <cols>
    <col min="1" max="1" width="10.421875" style="601" customWidth="1"/>
    <col min="2" max="2" width="12.8515625" style="601" customWidth="1"/>
    <col min="3" max="3" width="17.421875" style="5" customWidth="1"/>
    <col min="4" max="4" width="13.00390625" style="5" customWidth="1"/>
    <col min="5" max="5" width="4.00390625" style="5" customWidth="1"/>
    <col min="6" max="6" width="12.140625" style="5" customWidth="1"/>
    <col min="7" max="7" width="12.140625" style="241" customWidth="1"/>
    <col min="8" max="8" width="4.8515625" style="241" customWidth="1"/>
    <col min="9" max="9" width="9.00390625" style="601" customWidth="1"/>
    <col min="10" max="10" width="11.00390625" style="601" customWidth="1"/>
    <col min="11" max="11" width="19.140625" style="5" customWidth="1"/>
    <col min="12" max="12" width="11.00390625" style="5" customWidth="1"/>
    <col min="13" max="13" width="4.00390625" style="5" customWidth="1"/>
    <col min="14" max="14" width="11.7109375" style="5" customWidth="1"/>
    <col min="15" max="15" width="11.421875" style="5" customWidth="1"/>
    <col min="16" max="16384" width="8.8515625" style="5" customWidth="1"/>
  </cols>
  <sheetData>
    <row r="1" spans="1:15" ht="24" customHeight="1">
      <c r="A1" s="596"/>
      <c r="B1" s="597"/>
      <c r="C1" s="114" t="s">
        <v>175</v>
      </c>
      <c r="D1" s="113"/>
      <c r="E1" s="113"/>
      <c r="F1" s="113"/>
      <c r="G1" s="113"/>
      <c r="H1" s="606"/>
      <c r="I1" s="597"/>
      <c r="J1" s="597"/>
      <c r="K1" s="115" t="s">
        <v>176</v>
      </c>
      <c r="L1" s="113"/>
      <c r="M1" s="113"/>
      <c r="N1" s="113"/>
      <c r="O1" s="116"/>
    </row>
    <row r="2" spans="1:15" ht="13.5" customHeight="1">
      <c r="A2" s="598"/>
      <c r="B2" s="599"/>
      <c r="C2" s="117"/>
      <c r="D2" s="118" t="s">
        <v>177</v>
      </c>
      <c r="E2" s="117"/>
      <c r="F2" s="119" t="s">
        <v>178</v>
      </c>
      <c r="G2" s="603" t="s">
        <v>179</v>
      </c>
      <c r="H2" s="5"/>
      <c r="I2" s="121"/>
      <c r="J2" s="121"/>
      <c r="K2" s="122"/>
      <c r="L2" s="118" t="s">
        <v>177</v>
      </c>
      <c r="M2" s="117"/>
      <c r="N2" s="119" t="s">
        <v>178</v>
      </c>
      <c r="O2" s="120" t="s">
        <v>179</v>
      </c>
    </row>
    <row r="3" spans="1:15" ht="16.5" customHeight="1">
      <c r="A3" s="123" t="s">
        <v>56</v>
      </c>
      <c r="B3" s="124" t="s">
        <v>180</v>
      </c>
      <c r="C3" s="124" t="s">
        <v>55</v>
      </c>
      <c r="D3" s="125" t="s">
        <v>181</v>
      </c>
      <c r="E3" s="117"/>
      <c r="F3" s="126" t="s">
        <v>182</v>
      </c>
      <c r="G3" s="604"/>
      <c r="H3" s="5"/>
      <c r="I3" s="124" t="s">
        <v>56</v>
      </c>
      <c r="J3" s="124" t="s">
        <v>180</v>
      </c>
      <c r="K3" s="124" t="s">
        <v>183</v>
      </c>
      <c r="L3" s="127" t="s">
        <v>181</v>
      </c>
      <c r="M3" s="117"/>
      <c r="N3" s="126" t="s">
        <v>182</v>
      </c>
      <c r="O3" s="128"/>
    </row>
    <row r="4" spans="1:15" ht="13.5" customHeight="1">
      <c r="A4" s="600" t="s">
        <v>153</v>
      </c>
      <c r="B4" s="599">
        <v>11</v>
      </c>
      <c r="C4" s="125" t="str">
        <f>IF(B4="","",VLOOKUP(B4,Nevezés!$C$2:$G$89,2,FALSE))</f>
        <v>Mosonmagyaróvár HTP</v>
      </c>
      <c r="D4" s="129">
        <f>IF(B4="","",VLOOKUP(B4,Eredmény!$B$4:$AD$91,27,FALSE))</f>
        <v>994</v>
      </c>
      <c r="E4" s="117"/>
      <c r="F4" s="130">
        <f aca="true" t="shared" si="0" ref="F4:F25">IF(D4=0,"",RANK(D4,$D$4:$D$25))</f>
        <v>7</v>
      </c>
      <c r="G4" s="605">
        <f>Eredmény!AF4</f>
        <v>890</v>
      </c>
      <c r="H4" s="5"/>
      <c r="I4" s="599">
        <v>1</v>
      </c>
      <c r="J4" s="599">
        <v>11</v>
      </c>
      <c r="K4" s="125" t="str">
        <f>IF(J4="","",VLOOKUP(J4,Nevezés!$C$2:$G$85,5,FALSE))</f>
        <v>Ásványi Péter</v>
      </c>
      <c r="L4" s="131">
        <f>IF(J4="","",VLOOKUP(J4,Eredmény!$B$4:$AB$91,27,FALSE))</f>
        <v>994</v>
      </c>
      <c r="M4" s="117"/>
      <c r="N4" s="130">
        <f aca="true" t="shared" si="1" ref="N4:N35">IF(L4=0,"",RANK(L4,$L$4:$L$91))</f>
        <v>20</v>
      </c>
      <c r="O4" s="132">
        <f>Eredmény!P4</f>
        <v>200</v>
      </c>
    </row>
    <row r="5" spans="1:15" ht="13.5" customHeight="1">
      <c r="A5" s="600" t="s">
        <v>154</v>
      </c>
      <c r="B5" s="599">
        <v>21</v>
      </c>
      <c r="C5" s="133" t="str">
        <f>IF(B5="","",VLOOKUP(B5,Nevezés!$C$2:$G$89,2,FALSE))</f>
        <v>Hajdúnánási HTP</v>
      </c>
      <c r="D5" s="129">
        <f>IF(B5="","",VLOOKUP(B5,Eredmény!$B$4:$AD$91,27,FALSE))</f>
        <v>1095</v>
      </c>
      <c r="E5" s="117"/>
      <c r="F5" s="126">
        <f t="shared" si="0"/>
        <v>3</v>
      </c>
      <c r="G5" s="605">
        <f>Eredmény!AF8</f>
        <v>970</v>
      </c>
      <c r="H5" s="5"/>
      <c r="I5" s="599">
        <f aca="true" t="shared" si="2" ref="I5:I36">I4+1</f>
        <v>2</v>
      </c>
      <c r="J5" s="599">
        <v>12</v>
      </c>
      <c r="K5" s="125" t="str">
        <f>IF(J5="","",VLOOKUP(J5,Nevezés!$C$2:$G$85,5,FALSE))</f>
        <v>Derzsi Tamás</v>
      </c>
      <c r="L5" s="131">
        <f>IF(J5="","",VLOOKUP(J5,Eredmény!$B$4:$AB$91,27,FALSE))</f>
        <v>1262</v>
      </c>
      <c r="M5" s="117"/>
      <c r="N5" s="130">
        <f t="shared" si="1"/>
        <v>7</v>
      </c>
      <c r="O5" s="132">
        <f>Eredmény!P5</f>
        <v>80</v>
      </c>
    </row>
    <row r="6" spans="1:15" ht="13.5" customHeight="1">
      <c r="A6" s="600" t="s">
        <v>155</v>
      </c>
      <c r="B6" s="599">
        <v>31</v>
      </c>
      <c r="C6" s="133" t="str">
        <f>IF(B6="","",VLOOKUP(B6,Nevezés!$C$2:$G$89,2,FALSE))</f>
        <v>Pétfürdő HTP</v>
      </c>
      <c r="D6" s="129">
        <f>IF(B6="","",VLOOKUP(B6,Eredmény!$B$4:$AD$91,27,FALSE))</f>
        <v>546</v>
      </c>
      <c r="E6" s="117"/>
      <c r="F6" s="126">
        <f t="shared" si="0"/>
        <v>15</v>
      </c>
      <c r="G6" s="605">
        <f>SUM(Eredmény!AF12)</f>
        <v>940</v>
      </c>
      <c r="H6" s="5"/>
      <c r="I6" s="599">
        <f t="shared" si="2"/>
        <v>3</v>
      </c>
      <c r="J6" s="599">
        <v>13</v>
      </c>
      <c r="K6" s="125" t="str">
        <f>IF(J6="","",VLOOKUP(J6,Nevezés!$C$2:$G$85,5,FALSE))</f>
        <v>Kézdi Gábor</v>
      </c>
      <c r="L6" s="131">
        <f>IF(J6="","",VLOOKUP(J6,Eredmény!$B$4:$AB$91,27,FALSE))</f>
        <v>533</v>
      </c>
      <c r="M6" s="117"/>
      <c r="N6" s="130">
        <f t="shared" si="1"/>
        <v>57</v>
      </c>
      <c r="O6" s="132">
        <f>Eredmény!P6</f>
        <v>430</v>
      </c>
    </row>
    <row r="7" spans="1:15" ht="13.5" customHeight="1">
      <c r="A7" s="600" t="s">
        <v>156</v>
      </c>
      <c r="B7" s="599">
        <v>41</v>
      </c>
      <c r="C7" s="133" t="str">
        <f>IF(B7="","",VLOOKUP(B7,Nevezés!$C$2:$G$89,2,FALSE))</f>
        <v>Barcs HTP</v>
      </c>
      <c r="D7" s="129">
        <f>IF(B7="","",VLOOKUP(B7,Eredmény!$B$4:$AD$91,27,FALSE))</f>
        <v>792</v>
      </c>
      <c r="E7" s="117"/>
      <c r="F7" s="126">
        <f t="shared" si="0"/>
        <v>12</v>
      </c>
      <c r="G7" s="605">
        <f>SUM(Eredmény!AF16)</f>
        <v>1100</v>
      </c>
      <c r="H7" s="5"/>
      <c r="I7" s="599">
        <f t="shared" si="2"/>
        <v>4</v>
      </c>
      <c r="J7" s="599">
        <v>14</v>
      </c>
      <c r="K7" s="125" t="str">
        <f>IF(J7="","",VLOOKUP(J7,Nevezés!$C$2:$G$85,5,FALSE))</f>
        <v>Németh Gábor</v>
      </c>
      <c r="L7" s="131">
        <f>IF(J7="","",VLOOKUP(J7,Eredmény!$B$4:$AB$91,27,FALSE))</f>
        <v>856</v>
      </c>
      <c r="M7" s="117"/>
      <c r="N7" s="130">
        <f t="shared" si="1"/>
        <v>32</v>
      </c>
      <c r="O7" s="132">
        <f>Eredmény!P7</f>
        <v>180</v>
      </c>
    </row>
    <row r="8" spans="1:15" ht="13.5" customHeight="1">
      <c r="A8" s="600" t="s">
        <v>157</v>
      </c>
      <c r="B8" s="599">
        <v>51</v>
      </c>
      <c r="C8" s="125" t="str">
        <f>IF(B8="","",VLOOKUP(B8,Nevezés!$C$2:$G$89,2,FALSE))</f>
        <v>Veszprém HTP</v>
      </c>
      <c r="D8" s="129">
        <f>IF(B8="","",VLOOKUP(B8,Eredmény!$B$4:$AD$91,27,FALSE))</f>
        <v>658</v>
      </c>
      <c r="E8" s="117"/>
      <c r="F8" s="130">
        <f t="shared" si="0"/>
        <v>14</v>
      </c>
      <c r="G8" s="605">
        <f>Eredmény!AF20</f>
        <v>590</v>
      </c>
      <c r="H8" s="5"/>
      <c r="I8" s="599">
        <f t="shared" si="2"/>
        <v>5</v>
      </c>
      <c r="J8" s="599">
        <v>21</v>
      </c>
      <c r="K8" s="133" t="str">
        <f>IF(J8="","",VLOOKUP(J8,Nevezés!$C$2:$G$85,5,FALSE))</f>
        <v>Szemán Péter</v>
      </c>
      <c r="L8" s="131">
        <f>IF(J8="","",VLOOKUP(J8,Eredmény!$B$4:$AB$91,27,FALSE))</f>
        <v>1095</v>
      </c>
      <c r="M8" s="117"/>
      <c r="N8" s="126">
        <f t="shared" si="1"/>
        <v>12</v>
      </c>
      <c r="O8" s="132">
        <f>Eredmény!P8</f>
        <v>310</v>
      </c>
    </row>
    <row r="9" spans="1:15" ht="13.5" customHeight="1">
      <c r="A9" s="600" t="s">
        <v>158</v>
      </c>
      <c r="B9" s="599">
        <v>61</v>
      </c>
      <c r="C9" s="133" t="str">
        <f>IF(B9="","",VLOOKUP(B9,Nevezés!$C$2:$G$89,2,FALSE))</f>
        <v>Egri HTP</v>
      </c>
      <c r="D9" s="129">
        <f>IF(B9="","",VLOOKUP(B9,Eredmény!$B$4:$AD$91,27,FALSE))</f>
        <v>890</v>
      </c>
      <c r="E9" s="117"/>
      <c r="F9" s="126">
        <f t="shared" si="0"/>
        <v>10</v>
      </c>
      <c r="G9" s="605">
        <f>Eredmény!AF24</f>
        <v>1360</v>
      </c>
      <c r="H9" s="5"/>
      <c r="I9" s="599">
        <f t="shared" si="2"/>
        <v>6</v>
      </c>
      <c r="J9" s="599">
        <v>22</v>
      </c>
      <c r="K9" s="133" t="str">
        <f>IF(J9="","",VLOOKUP(J9,Nevezés!$C$2:$G$85,5,FALSE))</f>
        <v>Csuja Gábor</v>
      </c>
      <c r="L9" s="131">
        <f>IF(J9="","",VLOOKUP(J9,Eredmény!$B$4:$AB$91,27,FALSE))</f>
        <v>1144</v>
      </c>
      <c r="M9" s="117"/>
      <c r="N9" s="126">
        <f t="shared" si="1"/>
        <v>11</v>
      </c>
      <c r="O9" s="132">
        <f>Eredmény!P9</f>
        <v>60</v>
      </c>
    </row>
    <row r="10" spans="1:15" ht="13.5" customHeight="1">
      <c r="A10" s="600" t="s">
        <v>159</v>
      </c>
      <c r="B10" s="599">
        <v>71</v>
      </c>
      <c r="C10" s="133" t="str">
        <f>IF(B10="","",VLOOKUP(B10,Nevezés!$C$2:$G$89,2,FALSE))</f>
        <v>Kiskunhalas HTP</v>
      </c>
      <c r="D10" s="129">
        <f>IF(B10="","",VLOOKUP(B10,Eredmény!$B$4:$AD$91,27,FALSE))</f>
        <v>977</v>
      </c>
      <c r="E10" s="117"/>
      <c r="F10" s="126">
        <f t="shared" si="0"/>
        <v>8</v>
      </c>
      <c r="G10" s="605">
        <f>Eredmény!AF28</f>
        <v>1230</v>
      </c>
      <c r="H10" s="5"/>
      <c r="I10" s="599">
        <f t="shared" si="2"/>
        <v>7</v>
      </c>
      <c r="J10" s="599">
        <v>23</v>
      </c>
      <c r="K10" s="133" t="str">
        <f>IF(J10="","",VLOOKUP(J10,Nevezés!$C$2:$G$85,5,FALSE))</f>
        <v>Nagy Sándor</v>
      </c>
      <c r="L10" s="131">
        <f>IF(J10="","",VLOOKUP(J10,Eredmény!$B$4:$AB$91,27,FALSE))</f>
        <v>1039</v>
      </c>
      <c r="M10" s="117"/>
      <c r="N10" s="126">
        <f t="shared" si="1"/>
        <v>17</v>
      </c>
      <c r="O10" s="132">
        <f>Eredmény!P10</f>
        <v>290</v>
      </c>
    </row>
    <row r="11" spans="1:15" ht="13.5" customHeight="1">
      <c r="A11" s="600" t="s">
        <v>160</v>
      </c>
      <c r="B11" s="599">
        <v>81</v>
      </c>
      <c r="C11" s="133" t="str">
        <f>IF(B11="","",VLOOKUP(B11,Nevezés!$C$2:$G$89,2,FALSE))</f>
        <v>Baja HTP</v>
      </c>
      <c r="D11" s="129">
        <f>IF(B11="","",VLOOKUP(B11,Eredmény!$B$4:$AD$91,27,FALSE))</f>
        <v>1054</v>
      </c>
      <c r="E11" s="117"/>
      <c r="F11" s="126">
        <f t="shared" si="0"/>
        <v>5</v>
      </c>
      <c r="G11" s="605">
        <f>Eredmény!AF32</f>
        <v>830</v>
      </c>
      <c r="H11" s="5"/>
      <c r="I11" s="599">
        <f t="shared" si="2"/>
        <v>8</v>
      </c>
      <c r="J11" s="599">
        <v>24</v>
      </c>
      <c r="K11" s="133" t="str">
        <f>IF(J11="","",VLOOKUP(J11,Nevezés!$C$2:$G$85,5,FALSE))</f>
        <v>Dósa Tamás </v>
      </c>
      <c r="L11" s="131">
        <f>IF(J11="","",VLOOKUP(J11,Eredmény!$B$4:$AB$91,27,FALSE))</f>
        <v>844</v>
      </c>
      <c r="M11" s="117"/>
      <c r="N11" s="126">
        <f t="shared" si="1"/>
        <v>33</v>
      </c>
      <c r="O11" s="132">
        <f>Eredmény!P11</f>
        <v>310</v>
      </c>
    </row>
    <row r="12" spans="1:15" ht="13.5" customHeight="1">
      <c r="A12" s="600" t="s">
        <v>161</v>
      </c>
      <c r="B12" s="599">
        <v>91</v>
      </c>
      <c r="C12" s="133" t="str">
        <f>IF(B12="","",VLOOKUP(B12,Nevezés!$C$2:$G$89,2,FALSE))</f>
        <v>Kecskemét HTP</v>
      </c>
      <c r="D12" s="129">
        <f>IF(B12="","",VLOOKUP(B12,Eredmény!$B$4:$AD$91,27,FALSE))</f>
        <v>1021</v>
      </c>
      <c r="E12" s="117"/>
      <c r="F12" s="126">
        <f t="shared" si="0"/>
        <v>6</v>
      </c>
      <c r="G12" s="605">
        <f>Eredmény!AF36</f>
        <v>530</v>
      </c>
      <c r="H12" s="5"/>
      <c r="I12" s="599">
        <f t="shared" si="2"/>
        <v>9</v>
      </c>
      <c r="J12" s="599">
        <v>31</v>
      </c>
      <c r="K12" s="133" t="str">
        <f>IF(J12="","",VLOOKUP(J12,Nevezés!$C$2:$G$85,5,FALSE))</f>
        <v>Rotter László</v>
      </c>
      <c r="L12" s="131">
        <f>IF(J12="","",VLOOKUP(J12,Eredmény!$B$4:$AB$91,27,FALSE))</f>
        <v>546</v>
      </c>
      <c r="M12" s="117"/>
      <c r="N12" s="126">
        <f t="shared" si="1"/>
        <v>54</v>
      </c>
      <c r="O12" s="132">
        <f>Eredmény!P12</f>
        <v>410</v>
      </c>
    </row>
    <row r="13" spans="1:15" ht="13.5" customHeight="1">
      <c r="A13" s="600" t="s">
        <v>162</v>
      </c>
      <c r="B13" s="599">
        <v>101</v>
      </c>
      <c r="C13" s="133" t="str">
        <f>IF(B13="","",VLOOKUP(B13,Nevezés!$C$2:$G$89,2,FALSE))</f>
        <v>Csongrád MKI</v>
      </c>
      <c r="D13" s="129">
        <f>IF(B13="","",VLOOKUP(B13,Eredmény!$B$4:$AD$91,27,FALSE))</f>
        <v>1069</v>
      </c>
      <c r="E13" s="117"/>
      <c r="F13" s="126">
        <f t="shared" si="0"/>
        <v>4</v>
      </c>
      <c r="G13" s="605">
        <f>Eredmény!AF40</f>
        <v>660</v>
      </c>
      <c r="H13" s="5"/>
      <c r="I13" s="599">
        <f t="shared" si="2"/>
        <v>10</v>
      </c>
      <c r="J13" s="599">
        <v>32</v>
      </c>
      <c r="K13" s="133" t="str">
        <f>IF(J13="","",VLOOKUP(J13,Nevezés!$C$2:$G$85,5,FALSE))</f>
        <v>Sántha András</v>
      </c>
      <c r="L13" s="131">
        <f>IF(J13="","",VLOOKUP(J13,Eredmény!$B$4:$AB$91,27,FALSE))</f>
        <v>707</v>
      </c>
      <c r="M13" s="117"/>
      <c r="N13" s="126">
        <f t="shared" si="1"/>
        <v>47</v>
      </c>
      <c r="O13" s="132">
        <f>Eredmény!P13</f>
        <v>190</v>
      </c>
    </row>
    <row r="14" spans="1:15" ht="13.5" customHeight="1">
      <c r="A14" s="600" t="s">
        <v>163</v>
      </c>
      <c r="B14" s="599">
        <v>111</v>
      </c>
      <c r="C14" s="133" t="str">
        <f>IF(B14="","",VLOOKUP(B14,Nevezés!$C$2:$G$89,2,FALSE))</f>
        <v>Tiszafüred HTP</v>
      </c>
      <c r="D14" s="129">
        <f>IF(B14="","",VLOOKUP(B14,Eredmény!$B$4:$AD$91,27,FALSE))</f>
        <v>941</v>
      </c>
      <c r="E14" s="117"/>
      <c r="F14" s="126">
        <f t="shared" si="0"/>
        <v>9</v>
      </c>
      <c r="G14" s="605">
        <f>Eredmény!AF44</f>
        <v>230</v>
      </c>
      <c r="H14" s="5"/>
      <c r="I14" s="599">
        <f t="shared" si="2"/>
        <v>11</v>
      </c>
      <c r="J14" s="599">
        <v>33</v>
      </c>
      <c r="K14" s="133" t="str">
        <f>IF(J14="","",VLOOKUP(J14,Nevezés!$C$2:$G$85,5,FALSE))</f>
        <v>Koszteczky Henrik </v>
      </c>
      <c r="L14" s="131">
        <f>IF(J14="","",VLOOKUP(J14,Eredmény!$B$4:$AB$91,27,FALSE))</f>
        <v>766</v>
      </c>
      <c r="M14" s="117"/>
      <c r="N14" s="126">
        <f t="shared" si="1"/>
        <v>41</v>
      </c>
      <c r="O14" s="132">
        <f>Eredmény!P14</f>
        <v>120</v>
      </c>
    </row>
    <row r="15" spans="1:15" ht="13.5" customHeight="1">
      <c r="A15" s="600" t="s">
        <v>164</v>
      </c>
      <c r="B15" s="599">
        <v>121</v>
      </c>
      <c r="C15" s="133" t="str">
        <f>IF(B15="","",VLOOKUP(B15,Nevezés!$C$2:$G$89,2,FALSE))</f>
        <v>Mátészalka HTP</v>
      </c>
      <c r="D15" s="129">
        <f>IF(B15="","",VLOOKUP(B15,Eredmény!$B$4:$AD$91,27,FALSE))</f>
        <v>755</v>
      </c>
      <c r="E15" s="117"/>
      <c r="F15" s="126">
        <f t="shared" si="0"/>
        <v>13</v>
      </c>
      <c r="G15" s="605">
        <f>Eredmény!AF48</f>
        <v>1635</v>
      </c>
      <c r="H15" s="5"/>
      <c r="I15" s="599">
        <f t="shared" si="2"/>
        <v>12</v>
      </c>
      <c r="J15" s="599">
        <v>34</v>
      </c>
      <c r="K15" s="133" t="str">
        <f>IF(J15="","",VLOOKUP(J15,Nevezés!$C$2:$G$85,5,FALSE))</f>
        <v>Somogyi Attila</v>
      </c>
      <c r="L15" s="131">
        <f>IF(J15="","",VLOOKUP(J15,Eredmény!$B$4:$AB$91,27,FALSE))</f>
        <v>782</v>
      </c>
      <c r="M15" s="117"/>
      <c r="N15" s="126">
        <f t="shared" si="1"/>
        <v>39</v>
      </c>
      <c r="O15" s="132">
        <f>Eredmény!P15</f>
        <v>220</v>
      </c>
    </row>
    <row r="16" spans="1:15" ht="13.5" customHeight="1">
      <c r="A16" s="600" t="s">
        <v>165</v>
      </c>
      <c r="B16" s="599">
        <v>131</v>
      </c>
      <c r="C16" s="133" t="str">
        <f>IF(B16="","",VLOOKUP(B16,Nevezés!$C$2:$G$89,2,FALSE))</f>
        <v>Miskolc HTP</v>
      </c>
      <c r="D16" s="129">
        <f>IF(B16="","",VLOOKUP(B16,Eredmény!$B$4:$AD$91,27,FALSE))</f>
        <v>1339</v>
      </c>
      <c r="E16" s="117"/>
      <c r="F16" s="126">
        <f t="shared" si="0"/>
        <v>2</v>
      </c>
      <c r="G16" s="605">
        <f>Eredmény!AF52</f>
        <v>490</v>
      </c>
      <c r="H16" s="5"/>
      <c r="I16" s="599">
        <f t="shared" si="2"/>
        <v>13</v>
      </c>
      <c r="J16" s="599">
        <v>41</v>
      </c>
      <c r="K16" s="133" t="str">
        <f>IF(J16="","",VLOOKUP(J16,Nevezés!$C$2:$G$85,5,FALSE))</f>
        <v>Horváth Imre </v>
      </c>
      <c r="L16" s="131">
        <f>IF(J16="","",VLOOKUP(J16,Eredmény!$B$4:$AB$91,27,FALSE))</f>
        <v>792</v>
      </c>
      <c r="M16" s="117"/>
      <c r="N16" s="126">
        <f t="shared" si="1"/>
        <v>37</v>
      </c>
      <c r="O16" s="132">
        <f>Eredmény!P16</f>
        <v>260</v>
      </c>
    </row>
    <row r="17" spans="1:15" ht="13.5" customHeight="1">
      <c r="A17" s="600" t="s">
        <v>166</v>
      </c>
      <c r="B17" s="599">
        <v>141</v>
      </c>
      <c r="C17" s="133" t="str">
        <f>IF(B17="","",VLOOKUP(B17,Nevezés!$C$2:$G$89,2,FALSE))</f>
        <v>XIX. kerületi HTP</v>
      </c>
      <c r="D17" s="129">
        <f>IF(B17="","",VLOOKUP(B17,Eredmény!$B$4:$AD$91,27,FALSE))</f>
        <v>418</v>
      </c>
      <c r="E17" s="117"/>
      <c r="F17" s="126">
        <f t="shared" si="0"/>
        <v>16</v>
      </c>
      <c r="G17" s="605">
        <f>Eredmény!AF56</f>
        <v>1620</v>
      </c>
      <c r="H17" s="5"/>
      <c r="I17" s="599">
        <f t="shared" si="2"/>
        <v>14</v>
      </c>
      <c r="J17" s="599">
        <v>42</v>
      </c>
      <c r="K17" s="133" t="str">
        <f>IF(J17="","",VLOOKUP(J17,Nevezés!$C$2:$G$85,5,FALSE))</f>
        <v>Werkman Norbert</v>
      </c>
      <c r="L17" s="131">
        <f>IF(J17="","",VLOOKUP(J17,Eredmény!$B$4:$AB$91,27,FALSE))</f>
        <v>842</v>
      </c>
      <c r="M17" s="117"/>
      <c r="N17" s="126">
        <f t="shared" si="1"/>
        <v>34</v>
      </c>
      <c r="O17" s="132">
        <f>Eredmény!P17</f>
        <v>180</v>
      </c>
    </row>
    <row r="18" spans="1:15" ht="13.5" customHeight="1">
      <c r="A18" s="600" t="s">
        <v>167</v>
      </c>
      <c r="B18" s="599">
        <v>151</v>
      </c>
      <c r="C18" s="133" t="str">
        <f>IF(B18="","",VLOOKUP(B18,Nevezés!$C$2:$G$89,2,FALSE))</f>
        <v>Gyöngyös HTP</v>
      </c>
      <c r="D18" s="129">
        <f>IF(B18="","",VLOOKUP(B18,Eredmény!$B$4:$AD$91,27,FALSE))</f>
        <v>813</v>
      </c>
      <c r="E18" s="117"/>
      <c r="F18" s="126">
        <f t="shared" si="0"/>
        <v>11</v>
      </c>
      <c r="G18" s="605">
        <f>Eredmény!AF60</f>
        <v>470</v>
      </c>
      <c r="H18" s="5"/>
      <c r="I18" s="599">
        <f t="shared" si="2"/>
        <v>15</v>
      </c>
      <c r="J18" s="599">
        <v>43</v>
      </c>
      <c r="K18" s="133" t="str">
        <f>IF(J18="","",VLOOKUP(J18,Nevezés!$C$2:$G$85,5,FALSE))</f>
        <v>Vidák Balázs</v>
      </c>
      <c r="L18" s="131">
        <f>IF(J18="","",VLOOKUP(J18,Eredmény!$B$4:$AB$91,27,FALSE))</f>
        <v>770</v>
      </c>
      <c r="M18" s="117"/>
      <c r="N18" s="126">
        <f t="shared" si="1"/>
        <v>40</v>
      </c>
      <c r="O18" s="132">
        <f>Eredmény!P18</f>
        <v>390</v>
      </c>
    </row>
    <row r="19" spans="1:15" ht="13.5" customHeight="1">
      <c r="A19" s="600" t="s">
        <v>168</v>
      </c>
      <c r="B19" s="599">
        <v>161</v>
      </c>
      <c r="C19" s="125" t="str">
        <f>IF(B19="","",VLOOKUP(B19,Nevezés!$C$2:$G$89,2,FALSE))</f>
        <v>Encs HTP</v>
      </c>
      <c r="D19" s="129">
        <f>IF(B19="","",VLOOKUP(B19,Eredmény!$B$4:$AD$91,27,FALSE))</f>
        <v>1504</v>
      </c>
      <c r="E19" s="117"/>
      <c r="F19" s="130">
        <f t="shared" si="0"/>
        <v>1</v>
      </c>
      <c r="G19" s="605">
        <f>Eredmény!AF64</f>
        <v>170</v>
      </c>
      <c r="H19" s="5"/>
      <c r="I19" s="599">
        <f t="shared" si="2"/>
        <v>16</v>
      </c>
      <c r="J19" s="599">
        <v>44</v>
      </c>
      <c r="K19" s="133" t="str">
        <f>IF(J19="","",VLOOKUP(J19,Nevezés!$C$2:$G$85,5,FALSE))</f>
        <v>Káló Norbert</v>
      </c>
      <c r="L19" s="131">
        <f>IF(J19="","",VLOOKUP(J19,Eredmény!$B$4:$AB$91,27,FALSE))</f>
        <v>995</v>
      </c>
      <c r="M19" s="117"/>
      <c r="N19" s="126">
        <f t="shared" si="1"/>
        <v>19</v>
      </c>
      <c r="O19" s="132">
        <f>Eredmény!P19</f>
        <v>270</v>
      </c>
    </row>
    <row r="20" spans="1:15" ht="13.5" customHeight="1">
      <c r="A20" s="600" t="s">
        <v>169</v>
      </c>
      <c r="B20" s="599">
        <v>171</v>
      </c>
      <c r="C20" s="133" t="e">
        <f>IF(B20="","",VLOOKUP(B20,Nevezés!$C$2:$G$89,2,FALSE))</f>
        <v>#N/A</v>
      </c>
      <c r="D20" s="129">
        <f>IF(B20="","",VLOOKUP(B20,Eredmény!$B$4:$AD$91,27,FALSE))</f>
        <v>0</v>
      </c>
      <c r="E20" s="117"/>
      <c r="F20" s="126">
        <f t="shared" si="0"/>
      </c>
      <c r="G20" s="605">
        <f>Eredmény!AF68</f>
        <v>0</v>
      </c>
      <c r="H20" s="5"/>
      <c r="I20" s="599">
        <f t="shared" si="2"/>
        <v>17</v>
      </c>
      <c r="J20" s="599">
        <v>51</v>
      </c>
      <c r="K20" s="125" t="str">
        <f>IF(J20="","",VLOOKUP(J20,Nevezés!$C$2:$G$85,5,FALSE))</f>
        <v>Frunza Octavian</v>
      </c>
      <c r="L20" s="131">
        <f>IF(J20="","",VLOOKUP(J20,Eredmény!$B$4:$AB$91,27,FALSE))</f>
        <v>658</v>
      </c>
      <c r="M20" s="117"/>
      <c r="N20" s="130">
        <f t="shared" si="1"/>
        <v>49</v>
      </c>
      <c r="O20" s="132">
        <f>Eredmény!P20</f>
        <v>310</v>
      </c>
    </row>
    <row r="21" spans="1:15" ht="13.5" customHeight="1">
      <c r="A21" s="600" t="s">
        <v>170</v>
      </c>
      <c r="B21" s="599">
        <v>181</v>
      </c>
      <c r="C21" s="133" t="e">
        <f>IF(B21="","",VLOOKUP(B21,Nevezés!$C$2:$G$89,2,FALSE))</f>
        <v>#N/A</v>
      </c>
      <c r="D21" s="129">
        <f>IF(B21="","",VLOOKUP(B21,Eredmény!$B$4:$AD$91,27,FALSE))</f>
        <v>0</v>
      </c>
      <c r="E21" s="117"/>
      <c r="F21" s="126">
        <f t="shared" si="0"/>
      </c>
      <c r="G21" s="605">
        <f>Eredmény!AF72</f>
        <v>0</v>
      </c>
      <c r="H21" s="5"/>
      <c r="I21" s="599">
        <f t="shared" si="2"/>
        <v>18</v>
      </c>
      <c r="J21" s="599">
        <v>52</v>
      </c>
      <c r="K21" s="125" t="str">
        <f>IF(J21="","",VLOOKUP(J21,Nevezés!$C$2:$G$85,5,FALSE))</f>
        <v>Molnár Márk </v>
      </c>
      <c r="L21" s="131">
        <f>IF(J21="","",VLOOKUP(J21,Eredmény!$B$4:$AB$91,27,FALSE))</f>
        <v>1469</v>
      </c>
      <c r="M21" s="117"/>
      <c r="N21" s="130">
        <f t="shared" si="1"/>
        <v>2</v>
      </c>
      <c r="O21" s="132">
        <f>Eredmény!P21</f>
        <v>20</v>
      </c>
    </row>
    <row r="22" spans="1:15" ht="13.5" customHeight="1">
      <c r="A22" s="600" t="s">
        <v>171</v>
      </c>
      <c r="B22" s="599">
        <v>191</v>
      </c>
      <c r="C22" s="133" t="e">
        <f>IF(B22="","",VLOOKUP(B22,Nevezés!$C$2:$G$89,2,FALSE))</f>
        <v>#N/A</v>
      </c>
      <c r="D22" s="129">
        <f>IF(B22="","",VLOOKUP(B22,Eredmény!$B$4:$AD$91,27,FALSE))</f>
        <v>0</v>
      </c>
      <c r="E22" s="117"/>
      <c r="F22" s="126">
        <f t="shared" si="0"/>
      </c>
      <c r="G22" s="605">
        <f>Eredmény!AF76</f>
        <v>0</v>
      </c>
      <c r="H22" s="5"/>
      <c r="I22" s="599">
        <f t="shared" si="2"/>
        <v>19</v>
      </c>
      <c r="J22" s="599">
        <v>53</v>
      </c>
      <c r="K22" s="125" t="str">
        <f>IF(J22="","",VLOOKUP(J22,Nevezés!$C$2:$G$85,5,FALSE))</f>
        <v>Ringhoffer Zoltán</v>
      </c>
      <c r="L22" s="131">
        <f>IF(J22="","",VLOOKUP(J22,Eredmény!$B$4:$AB$91,27,FALSE))</f>
        <v>991</v>
      </c>
      <c r="M22" s="117"/>
      <c r="N22" s="130">
        <f t="shared" si="1"/>
        <v>21</v>
      </c>
      <c r="O22" s="132">
        <f>Eredmény!P22</f>
        <v>260</v>
      </c>
    </row>
    <row r="23" spans="1:15" ht="13.5" customHeight="1">
      <c r="A23" s="600" t="s">
        <v>172</v>
      </c>
      <c r="B23" s="599">
        <v>201</v>
      </c>
      <c r="C23" s="125" t="e">
        <f>IF(B23="","",VLOOKUP(B23,Nevezés!$C$2:$G$89,2,FALSE))</f>
        <v>#N/A</v>
      </c>
      <c r="D23" s="129">
        <f>IF(B23="","",VLOOKUP(B23,Eredmény!$B$4:$AD$91,27,FALSE))</f>
        <v>0</v>
      </c>
      <c r="E23" s="117"/>
      <c r="F23" s="130">
        <f t="shared" si="0"/>
      </c>
      <c r="G23" s="605">
        <f>Eredmény!AF80</f>
        <v>0</v>
      </c>
      <c r="H23" s="5"/>
      <c r="I23" s="599">
        <f t="shared" si="2"/>
        <v>20</v>
      </c>
      <c r="J23" s="599">
        <v>54</v>
      </c>
      <c r="K23" s="125" t="e">
        <f>IF(J23="","",VLOOKUP(J23,Nevezés!$C$2:$G$85,5,FALSE))</f>
        <v>#N/A</v>
      </c>
      <c r="L23" s="131">
        <f>IF(J23="","",VLOOKUP(J23,Eredmény!$B$4:$AB$91,27,FALSE))</f>
        <v>0</v>
      </c>
      <c r="M23" s="117"/>
      <c r="N23" s="130">
        <f t="shared" si="1"/>
      </c>
      <c r="O23" s="132">
        <f>Eredmény!P23</f>
        <v>0</v>
      </c>
    </row>
    <row r="24" spans="1:15" ht="13.5" customHeight="1">
      <c r="A24" s="598">
        <v>21</v>
      </c>
      <c r="B24" s="599">
        <v>211</v>
      </c>
      <c r="C24" s="133" t="e">
        <f>IF(B24="","",VLOOKUP(B24,Nevezés!$C$2:$G$89,2,FALSE))</f>
        <v>#N/A</v>
      </c>
      <c r="D24" s="129">
        <f>IF(B24="","",VLOOKUP(B24,Eredmény!$B$4:$AD$91,27,FALSE))</f>
        <v>0</v>
      </c>
      <c r="E24" s="117"/>
      <c r="F24" s="126">
        <f t="shared" si="0"/>
      </c>
      <c r="G24" s="605">
        <f>Eredmény!AF84</f>
        <v>0</v>
      </c>
      <c r="H24" s="5"/>
      <c r="I24" s="599">
        <f t="shared" si="2"/>
        <v>21</v>
      </c>
      <c r="J24" s="599">
        <v>61</v>
      </c>
      <c r="K24" s="133" t="str">
        <f>IF(J24="","",VLOOKUP(J24,Nevezés!$C$2:$G$85,5,FALSE))</f>
        <v>Epstein Imre</v>
      </c>
      <c r="L24" s="131">
        <f>IF(J24="","",VLOOKUP(J24,Eredmény!$B$4:$AB$91,27,FALSE))</f>
        <v>890</v>
      </c>
      <c r="M24" s="117"/>
      <c r="N24" s="126">
        <f t="shared" si="1"/>
        <v>29</v>
      </c>
      <c r="O24" s="132">
        <f>Eredmény!P24</f>
        <v>400</v>
      </c>
    </row>
    <row r="25" spans="1:15" ht="13.5" customHeight="1">
      <c r="A25" s="598">
        <v>22</v>
      </c>
      <c r="B25" s="599">
        <v>221</v>
      </c>
      <c r="C25" s="133" t="e">
        <f>IF(B25="","",VLOOKUP(B25,Nevezés!$C$2:$G$89,2,FALSE))</f>
        <v>#N/A</v>
      </c>
      <c r="D25" s="129">
        <f>IF(B25="","",VLOOKUP(B25,Eredmény!$B$4:$AD$91,27,FALSE))</f>
        <v>0</v>
      </c>
      <c r="E25" s="117"/>
      <c r="F25" s="126">
        <f t="shared" si="0"/>
      </c>
      <c r="G25" s="605">
        <f>Eredmény!AF88</f>
        <v>0</v>
      </c>
      <c r="H25" s="5"/>
      <c r="I25" s="599">
        <f t="shared" si="2"/>
        <v>22</v>
      </c>
      <c r="J25" s="599">
        <v>62</v>
      </c>
      <c r="K25" s="133" t="str">
        <f>IF(J25="","",VLOOKUP(J25,Nevezés!$C$2:$G$85,5,FALSE))</f>
        <v>Vincze Zsolt</v>
      </c>
      <c r="L25" s="131">
        <f>IF(J25="","",VLOOKUP(J25,Eredmény!$B$4:$AB$91,27,FALSE))</f>
        <v>759</v>
      </c>
      <c r="M25" s="117"/>
      <c r="N25" s="126">
        <f t="shared" si="1"/>
        <v>42</v>
      </c>
      <c r="O25" s="132">
        <f>Eredmény!P25</f>
        <v>260</v>
      </c>
    </row>
    <row r="26" spans="1:15" ht="13.5" customHeight="1">
      <c r="A26" s="5"/>
      <c r="B26" s="5"/>
      <c r="G26" s="5"/>
      <c r="H26" s="5"/>
      <c r="I26" s="599">
        <f t="shared" si="2"/>
        <v>23</v>
      </c>
      <c r="J26" s="599">
        <v>63</v>
      </c>
      <c r="K26" s="133" t="str">
        <f>IF(J26="","",VLOOKUP(J26,Nevezés!$C$2:$G$85,5,FALSE))</f>
        <v>Barna Lajos</v>
      </c>
      <c r="L26" s="131">
        <f>IF(J26="","",VLOOKUP(J26,Eredmény!$B$4:$AB$91,27,FALSE))</f>
        <v>598</v>
      </c>
      <c r="M26" s="117"/>
      <c r="N26" s="126">
        <f t="shared" si="1"/>
        <v>52</v>
      </c>
      <c r="O26" s="132">
        <f>Eredmény!P26</f>
        <v>400</v>
      </c>
    </row>
    <row r="27" spans="1:15" ht="13.5" customHeight="1">
      <c r="A27" s="5"/>
      <c r="B27" s="5"/>
      <c r="G27" s="5"/>
      <c r="H27" s="5"/>
      <c r="I27" s="599">
        <f t="shared" si="2"/>
        <v>24</v>
      </c>
      <c r="J27" s="599">
        <v>64</v>
      </c>
      <c r="K27" s="133" t="str">
        <f>IF(J27="","",VLOOKUP(J27,Nevezés!$C$2:$G$85,5,FALSE))</f>
        <v>Bak Sándor</v>
      </c>
      <c r="L27" s="131">
        <f>IF(J27="","",VLOOKUP(J27,Eredmény!$B$4:$AB$91,27,FALSE))</f>
        <v>730</v>
      </c>
      <c r="M27" s="117"/>
      <c r="N27" s="126">
        <f t="shared" si="1"/>
        <v>44</v>
      </c>
      <c r="O27" s="132">
        <f>Eredmény!P27</f>
        <v>300</v>
      </c>
    </row>
    <row r="28" spans="1:15" ht="13.5" customHeight="1">
      <c r="A28" s="5"/>
      <c r="B28" s="5"/>
      <c r="G28" s="5"/>
      <c r="H28" s="5"/>
      <c r="I28" s="599">
        <f t="shared" si="2"/>
        <v>25</v>
      </c>
      <c r="J28" s="599">
        <v>71</v>
      </c>
      <c r="K28" s="133" t="str">
        <f>IF(J28="","",VLOOKUP(J28,Nevezés!$C$2:$G$85,5,FALSE))</f>
        <v>Hegedős Tibor</v>
      </c>
      <c r="L28" s="131">
        <f>IF(J28="","",VLOOKUP(J28,Eredmény!$B$4:$AB$91,27,FALSE))</f>
        <v>977</v>
      </c>
      <c r="M28" s="117"/>
      <c r="N28" s="126">
        <f t="shared" si="1"/>
        <v>23</v>
      </c>
      <c r="O28" s="132">
        <f>Eredmény!P28</f>
        <v>80</v>
      </c>
    </row>
    <row r="29" spans="1:15" ht="13.5" customHeight="1">
      <c r="A29" s="5"/>
      <c r="B29" s="5"/>
      <c r="G29" s="5"/>
      <c r="H29" s="5"/>
      <c r="I29" s="599">
        <f t="shared" si="2"/>
        <v>26</v>
      </c>
      <c r="J29" s="599">
        <v>72</v>
      </c>
      <c r="K29" s="133" t="str">
        <f>IF(J29="","",VLOOKUP(J29,Nevezés!$C$2:$G$85,5,FALSE))</f>
        <v>Baka Béla</v>
      </c>
      <c r="L29" s="131">
        <f>IF(J29="","",VLOOKUP(J29,Eredmény!$B$4:$AB$91,27,FALSE))</f>
        <v>711</v>
      </c>
      <c r="M29" s="117"/>
      <c r="N29" s="126">
        <f t="shared" si="1"/>
        <v>46</v>
      </c>
      <c r="O29" s="132">
        <f>Eredmény!P29</f>
        <v>280</v>
      </c>
    </row>
    <row r="30" spans="1:15" ht="13.5" customHeight="1">
      <c r="A30" s="5"/>
      <c r="B30" s="5"/>
      <c r="G30" s="5"/>
      <c r="H30" s="5"/>
      <c r="I30" s="599">
        <f t="shared" si="2"/>
        <v>27</v>
      </c>
      <c r="J30" s="599">
        <v>73</v>
      </c>
      <c r="K30" s="133" t="str">
        <f>IF(J30="","",VLOOKUP(J30,Nevezés!$C$2:$G$85,5,FALSE))</f>
        <v>Krivai Sándor</v>
      </c>
      <c r="L30" s="131">
        <f>IF(J30="","",VLOOKUP(J30,Eredmény!$B$4:$AB$91,27,FALSE))</f>
        <v>380</v>
      </c>
      <c r="M30" s="117"/>
      <c r="N30" s="126">
        <f t="shared" si="1"/>
        <v>60</v>
      </c>
      <c r="O30" s="132">
        <f>Eredmény!P30</f>
        <v>370</v>
      </c>
    </row>
    <row r="31" spans="1:15" ht="13.5" customHeight="1">
      <c r="A31" s="5"/>
      <c r="B31" s="5"/>
      <c r="G31" s="5"/>
      <c r="H31" s="5"/>
      <c r="I31" s="599">
        <f t="shared" si="2"/>
        <v>28</v>
      </c>
      <c r="J31" s="599">
        <v>74</v>
      </c>
      <c r="K31" s="133" t="str">
        <f>IF(J31="","",VLOOKUP(J31,Nevezés!$C$2:$G$85,5,FALSE))</f>
        <v>Csernák Zsolt</v>
      </c>
      <c r="L31" s="131">
        <f>IF(J31="","",VLOOKUP(J31,Eredmény!$B$4:$AB$91,27,FALSE))</f>
        <v>546</v>
      </c>
      <c r="M31" s="117"/>
      <c r="N31" s="126">
        <f t="shared" si="1"/>
        <v>54</v>
      </c>
      <c r="O31" s="132">
        <f>Eredmény!P31</f>
        <v>500</v>
      </c>
    </row>
    <row r="32" spans="1:15" ht="13.5" customHeight="1">
      <c r="A32" s="5"/>
      <c r="B32" s="5"/>
      <c r="G32" s="5"/>
      <c r="H32" s="5"/>
      <c r="I32" s="599">
        <f t="shared" si="2"/>
        <v>29</v>
      </c>
      <c r="J32" s="599">
        <v>81</v>
      </c>
      <c r="K32" s="133" t="str">
        <f>IF(J32="","",VLOOKUP(J32,Nevezés!$C$2:$G$85,5,FALSE))</f>
        <v>Nagy István</v>
      </c>
      <c r="L32" s="131">
        <f>IF(J32="","",VLOOKUP(J32,Eredmény!$B$4:$AB$91,27,FALSE))</f>
        <v>1054</v>
      </c>
      <c r="M32" s="117"/>
      <c r="N32" s="126">
        <f t="shared" si="1"/>
        <v>16</v>
      </c>
      <c r="O32" s="132">
        <f>Eredmény!P32</f>
        <v>170</v>
      </c>
    </row>
    <row r="33" spans="1:15" ht="13.5" customHeight="1">
      <c r="A33" s="5"/>
      <c r="B33" s="5"/>
      <c r="G33" s="5"/>
      <c r="H33" s="5"/>
      <c r="I33" s="599">
        <f t="shared" si="2"/>
        <v>30</v>
      </c>
      <c r="J33" s="599">
        <v>82</v>
      </c>
      <c r="K33" s="133" t="str">
        <f>IF(J33="","",VLOOKUP(J33,Nevezés!$C$2:$G$85,5,FALSE))</f>
        <v>Husti Krisztián</v>
      </c>
      <c r="L33" s="131">
        <f>IF(J33="","",VLOOKUP(J33,Eredmény!$B$4:$AB$91,27,FALSE))</f>
        <v>1055</v>
      </c>
      <c r="M33" s="117"/>
      <c r="N33" s="126">
        <f t="shared" si="1"/>
        <v>15</v>
      </c>
      <c r="O33" s="132">
        <f>Eredmény!P33</f>
        <v>230</v>
      </c>
    </row>
    <row r="34" spans="1:15" ht="13.5" customHeight="1">
      <c r="A34" s="5"/>
      <c r="B34" s="5"/>
      <c r="G34" s="5"/>
      <c r="H34" s="5"/>
      <c r="I34" s="599">
        <f t="shared" si="2"/>
        <v>31</v>
      </c>
      <c r="J34" s="599">
        <v>83</v>
      </c>
      <c r="K34" s="133" t="str">
        <f>IF(J34="","",VLOOKUP(J34,Nevezés!$C$2:$G$85,5,FALSE))</f>
        <v>Benák János</v>
      </c>
      <c r="L34" s="131">
        <f>IF(J34="","",VLOOKUP(J34,Eredmény!$B$4:$AB$91,27,FALSE))</f>
        <v>929</v>
      </c>
      <c r="M34" s="117"/>
      <c r="N34" s="126">
        <f t="shared" si="1"/>
        <v>26</v>
      </c>
      <c r="O34" s="132">
        <f>Eredmény!P34</f>
        <v>210</v>
      </c>
    </row>
    <row r="35" spans="1:15" ht="13.5" customHeight="1">
      <c r="A35" s="5"/>
      <c r="B35" s="5"/>
      <c r="G35" s="5"/>
      <c r="H35" s="5"/>
      <c r="I35" s="599">
        <f t="shared" si="2"/>
        <v>32</v>
      </c>
      <c r="J35" s="599">
        <v>84</v>
      </c>
      <c r="K35" s="133" t="str">
        <f>IF(J35="","",VLOOKUP(J35,Nevezés!$C$2:$G$85,5,FALSE))</f>
        <v>Gyulavári Gergely</v>
      </c>
      <c r="L35" s="131">
        <f>IF(J35="","",VLOOKUP(J35,Eredmény!$B$4:$AB$91,27,FALSE))</f>
        <v>987</v>
      </c>
      <c r="M35" s="117"/>
      <c r="N35" s="126">
        <f t="shared" si="1"/>
        <v>22</v>
      </c>
      <c r="O35" s="132">
        <f>Eredmény!P35</f>
        <v>220</v>
      </c>
    </row>
    <row r="36" spans="1:15" ht="13.5" customHeight="1">
      <c r="A36" s="5"/>
      <c r="B36" s="5"/>
      <c r="G36" s="5"/>
      <c r="H36" s="5"/>
      <c r="I36" s="599">
        <f t="shared" si="2"/>
        <v>33</v>
      </c>
      <c r="J36" s="599">
        <v>91</v>
      </c>
      <c r="K36" s="133" t="str">
        <f>IF(J36="","",VLOOKUP(J36,Nevezés!$C$2:$G$85,5,FALSE))</f>
        <v>András Attila</v>
      </c>
      <c r="L36" s="131">
        <f>IF(J36="","",VLOOKUP(J36,Eredmény!$B$4:$AB$91,27,FALSE))</f>
        <v>1021</v>
      </c>
      <c r="M36" s="117"/>
      <c r="N36" s="126">
        <f aca="true" t="shared" si="3" ref="N36:N67">IF(L36=0,"",RANK(L36,$L$4:$L$91))</f>
        <v>18</v>
      </c>
      <c r="O36" s="132">
        <f>Eredmény!P36</f>
        <v>110</v>
      </c>
    </row>
    <row r="37" spans="1:15" ht="13.5" customHeight="1">
      <c r="A37" s="5"/>
      <c r="B37" s="5"/>
      <c r="G37" s="5"/>
      <c r="H37" s="5"/>
      <c r="I37" s="599">
        <f aca="true" t="shared" si="4" ref="I37:I68">I36+1</f>
        <v>34</v>
      </c>
      <c r="J37" s="599">
        <v>92</v>
      </c>
      <c r="K37" s="133" t="str">
        <f>IF(J37="","",VLOOKUP(J37,Nevezés!$C$2:$G$85,5,FALSE))</f>
        <v>Székely Csaba</v>
      </c>
      <c r="L37" s="131">
        <f>IF(J37="","",VLOOKUP(J37,Eredmény!$B$4:$AB$91,27,FALSE))</f>
        <v>885</v>
      </c>
      <c r="M37" s="117"/>
      <c r="N37" s="126">
        <f t="shared" si="3"/>
        <v>31</v>
      </c>
      <c r="O37" s="132">
        <f>Eredmény!P37</f>
        <v>140</v>
      </c>
    </row>
    <row r="38" spans="1:15" ht="13.5" customHeight="1">
      <c r="A38" s="5"/>
      <c r="B38" s="5"/>
      <c r="G38" s="5"/>
      <c r="H38" s="5"/>
      <c r="I38" s="599">
        <f t="shared" si="4"/>
        <v>35</v>
      </c>
      <c r="J38" s="599">
        <v>93</v>
      </c>
      <c r="K38" s="133" t="str">
        <f>IF(J38="","",VLOOKUP(J38,Nevezés!$C$2:$G$85,5,FALSE))</f>
        <v>Mozsárik Lajos </v>
      </c>
      <c r="L38" s="131">
        <f>IF(J38="","",VLOOKUP(J38,Eredmény!$B$4:$AB$91,27,FALSE))</f>
        <v>1207</v>
      </c>
      <c r="M38" s="117"/>
      <c r="N38" s="126">
        <f t="shared" si="3"/>
        <v>8</v>
      </c>
      <c r="O38" s="132">
        <f>Eredmény!P38</f>
        <v>20</v>
      </c>
    </row>
    <row r="39" spans="1:15" ht="13.5" customHeight="1">
      <c r="A39" s="5"/>
      <c r="B39" s="5"/>
      <c r="G39" s="5"/>
      <c r="H39" s="5"/>
      <c r="I39" s="599">
        <f t="shared" si="4"/>
        <v>36</v>
      </c>
      <c r="J39" s="599">
        <v>94</v>
      </c>
      <c r="K39" s="133" t="str">
        <f>IF(J39="","",VLOOKUP(J39,Nevezés!$C$2:$G$85,5,FALSE))</f>
        <v>Kaszap Ferenc</v>
      </c>
      <c r="L39" s="131">
        <f>IF(J39="","",VLOOKUP(J39,Eredmény!$B$4:$AB$91,27,FALSE))</f>
        <v>962</v>
      </c>
      <c r="M39" s="117"/>
      <c r="N39" s="126">
        <f t="shared" si="3"/>
        <v>24</v>
      </c>
      <c r="O39" s="132">
        <f>Eredmény!P39</f>
        <v>260</v>
      </c>
    </row>
    <row r="40" spans="1:15" ht="13.5" customHeight="1">
      <c r="A40" s="5"/>
      <c r="B40" s="5"/>
      <c r="G40" s="5"/>
      <c r="H40" s="5"/>
      <c r="I40" s="599">
        <f t="shared" si="4"/>
        <v>37</v>
      </c>
      <c r="J40" s="599">
        <v>101</v>
      </c>
      <c r="K40" s="133" t="str">
        <f>IF(J40="","",VLOOKUP(J40,Nevezés!$C$2:$G$85,5,FALSE))</f>
        <v>Scheinpfulg József</v>
      </c>
      <c r="L40" s="131">
        <f>IF(J40="","",VLOOKUP(J40,Eredmény!$B$4:$AB$91,27,FALSE))</f>
        <v>1069</v>
      </c>
      <c r="M40" s="117"/>
      <c r="N40" s="126">
        <f t="shared" si="3"/>
        <v>14</v>
      </c>
      <c r="O40" s="132">
        <f>Eredmény!P40</f>
        <v>60</v>
      </c>
    </row>
    <row r="41" spans="1:15" ht="13.5" customHeight="1">
      <c r="A41" s="5"/>
      <c r="B41" s="5"/>
      <c r="G41" s="5"/>
      <c r="H41" s="5"/>
      <c r="I41" s="599">
        <f t="shared" si="4"/>
        <v>38</v>
      </c>
      <c r="J41" s="599">
        <v>102</v>
      </c>
      <c r="K41" s="133" t="str">
        <f>IF(J41="","",VLOOKUP(J41,Nevezés!$C$2:$G$85,5,FALSE))</f>
        <v>Rácz Csaba</v>
      </c>
      <c r="L41" s="131">
        <f>IF(J41="","",VLOOKUP(J41,Eredmény!$B$4:$AB$91,27,FALSE))</f>
        <v>714</v>
      </c>
      <c r="M41" s="117"/>
      <c r="N41" s="126">
        <f t="shared" si="3"/>
        <v>45</v>
      </c>
      <c r="O41" s="132">
        <f>Eredmény!P41</f>
        <v>230</v>
      </c>
    </row>
    <row r="42" spans="1:15" ht="13.5" customHeight="1">
      <c r="A42" s="5"/>
      <c r="B42" s="5"/>
      <c r="G42" s="5"/>
      <c r="H42" s="5"/>
      <c r="I42" s="599">
        <f t="shared" si="4"/>
        <v>39</v>
      </c>
      <c r="J42" s="599">
        <v>103</v>
      </c>
      <c r="K42" s="133" t="str">
        <f>IF(J42="","",VLOOKUP(J42,Nevezés!$C$2:$G$85,5,FALSE))</f>
        <v>Joó Rudolf</v>
      </c>
      <c r="L42" s="131">
        <f>IF(J42="","",VLOOKUP(J42,Eredmény!$B$4:$AB$91,27,FALSE))</f>
        <v>835</v>
      </c>
      <c r="M42" s="117"/>
      <c r="N42" s="126">
        <f t="shared" si="3"/>
        <v>35</v>
      </c>
      <c r="O42" s="132">
        <f>Eredmény!P42</f>
        <v>150</v>
      </c>
    </row>
    <row r="43" spans="1:15" ht="13.5" customHeight="1">
      <c r="A43" s="5"/>
      <c r="B43" s="5"/>
      <c r="G43" s="5"/>
      <c r="H43" s="5"/>
      <c r="I43" s="599">
        <f t="shared" si="4"/>
        <v>40</v>
      </c>
      <c r="J43" s="599">
        <v>104</v>
      </c>
      <c r="K43" s="133" t="str">
        <f>IF(J43="","",VLOOKUP(J43,Nevezés!$C$2:$G$85,5,FALSE))</f>
        <v>Nagy Zoltán</v>
      </c>
      <c r="L43" s="131">
        <f>IF(J43="","",VLOOKUP(J43,Eredmény!$B$4:$AB$91,27,FALSE))</f>
        <v>784</v>
      </c>
      <c r="M43" s="117"/>
      <c r="N43" s="126">
        <f t="shared" si="3"/>
        <v>38</v>
      </c>
      <c r="O43" s="132">
        <f>Eredmény!P43</f>
        <v>220</v>
      </c>
    </row>
    <row r="44" spans="1:15" ht="13.5" customHeight="1">
      <c r="A44" s="5"/>
      <c r="B44" s="5"/>
      <c r="G44" s="5"/>
      <c r="H44" s="5"/>
      <c r="I44" s="599">
        <f t="shared" si="4"/>
        <v>41</v>
      </c>
      <c r="J44" s="599">
        <v>111</v>
      </c>
      <c r="K44" s="133" t="str">
        <f>IF(J44="","",VLOOKUP(J44,Nevezés!$C$2:$G$85,5,FALSE))</f>
        <v>Koncz Miklós</v>
      </c>
      <c r="L44" s="131">
        <f>IF(J44="","",VLOOKUP(J44,Eredmény!$B$4:$AB$91,27,FALSE))</f>
        <v>941</v>
      </c>
      <c r="M44" s="117"/>
      <c r="N44" s="126">
        <f t="shared" si="3"/>
        <v>25</v>
      </c>
      <c r="O44" s="132">
        <f>Eredmény!P44</f>
        <v>150</v>
      </c>
    </row>
    <row r="45" spans="1:15" ht="13.5" customHeight="1">
      <c r="A45" s="5"/>
      <c r="B45" s="5"/>
      <c r="G45" s="5"/>
      <c r="H45" s="5"/>
      <c r="I45" s="599">
        <f t="shared" si="4"/>
        <v>42</v>
      </c>
      <c r="J45" s="599">
        <v>112</v>
      </c>
      <c r="K45" s="133" t="str">
        <f>IF(J45="","",VLOOKUP(J45,Nevezés!$C$2:$G$85,5,FALSE))</f>
        <v>Nagy Balázs</v>
      </c>
      <c r="L45" s="131">
        <f>IF(J45="","",VLOOKUP(J45,Eredmény!$B$4:$AB$91,27,FALSE))</f>
        <v>915</v>
      </c>
      <c r="M45" s="117"/>
      <c r="N45" s="126">
        <f t="shared" si="3"/>
        <v>28</v>
      </c>
      <c r="O45" s="132">
        <f>Eredmény!P45</f>
        <v>80</v>
      </c>
    </row>
    <row r="46" spans="1:15" ht="13.5" customHeight="1">
      <c r="A46" s="5"/>
      <c r="B46" s="5"/>
      <c r="G46" s="5"/>
      <c r="H46" s="5"/>
      <c r="I46" s="599">
        <f t="shared" si="4"/>
        <v>43</v>
      </c>
      <c r="J46" s="599">
        <v>113</v>
      </c>
      <c r="K46" s="133" t="e">
        <f>IF(J46="","",VLOOKUP(J46,Nevezés!$C$2:$G$85,5,FALSE))</f>
        <v>#N/A</v>
      </c>
      <c r="L46" s="131">
        <f>IF(J46="","",VLOOKUP(J46,Eredmény!$B$4:$AB$91,27,FALSE))</f>
        <v>0</v>
      </c>
      <c r="M46" s="117"/>
      <c r="N46" s="126">
        <f t="shared" si="3"/>
      </c>
      <c r="O46" s="132">
        <f>Eredmény!P46</f>
        <v>0</v>
      </c>
    </row>
    <row r="47" spans="1:15" ht="13.5" customHeight="1">
      <c r="A47" s="5"/>
      <c r="B47" s="5"/>
      <c r="G47" s="5"/>
      <c r="H47" s="5"/>
      <c r="I47" s="599">
        <f t="shared" si="4"/>
        <v>44</v>
      </c>
      <c r="J47" s="599">
        <v>114</v>
      </c>
      <c r="K47" s="133" t="e">
        <f>IF(J47="","",VLOOKUP(J47,Nevezés!$C$2:$G$85,5,FALSE))</f>
        <v>#N/A</v>
      </c>
      <c r="L47" s="131">
        <f>IF(J47="","",VLOOKUP(J47,Eredmény!$B$4:$AB$91,27,FALSE))</f>
        <v>0</v>
      </c>
      <c r="M47" s="117"/>
      <c r="N47" s="126">
        <f t="shared" si="3"/>
      </c>
      <c r="O47" s="132">
        <f>Eredmény!P47</f>
        <v>0</v>
      </c>
    </row>
    <row r="48" spans="1:15" ht="13.5" customHeight="1">
      <c r="A48" s="5"/>
      <c r="B48" s="5"/>
      <c r="G48" s="5"/>
      <c r="H48" s="5"/>
      <c r="I48" s="599">
        <f t="shared" si="4"/>
        <v>45</v>
      </c>
      <c r="J48" s="599">
        <v>121</v>
      </c>
      <c r="K48" s="133" t="str">
        <f>IF(J48="","",VLOOKUP(J48,Nevezés!$C$2:$G$85,5,FALSE))</f>
        <v>Bicskó Csaba</v>
      </c>
      <c r="L48" s="131">
        <f>IF(J48="","",VLOOKUP(J48,Eredmény!$B$4:$AB$91,27,FALSE))</f>
        <v>755</v>
      </c>
      <c r="M48" s="117"/>
      <c r="N48" s="126">
        <f t="shared" si="3"/>
        <v>43</v>
      </c>
      <c r="O48" s="132">
        <f>Eredmény!P48</f>
        <v>460</v>
      </c>
    </row>
    <row r="49" spans="1:15" ht="13.5" customHeight="1">
      <c r="A49" s="5"/>
      <c r="B49" s="5"/>
      <c r="G49" s="5"/>
      <c r="H49" s="5"/>
      <c r="I49" s="599">
        <f t="shared" si="4"/>
        <v>46</v>
      </c>
      <c r="J49" s="599">
        <v>122</v>
      </c>
      <c r="K49" s="133" t="str">
        <f>IF(J49="","",VLOOKUP(J49,Nevezés!$C$2:$G$85,5,FALSE))</f>
        <v>Jurkinya Sándor</v>
      </c>
      <c r="L49" s="131">
        <f>IF(J49="","",VLOOKUP(J49,Eredmény!$B$4:$AB$91,27,FALSE))</f>
        <v>686</v>
      </c>
      <c r="M49" s="117"/>
      <c r="N49" s="126">
        <f t="shared" si="3"/>
        <v>48</v>
      </c>
      <c r="O49" s="132">
        <f>Eredmény!P49</f>
        <v>410</v>
      </c>
    </row>
    <row r="50" spans="1:15" ht="13.5" customHeight="1">
      <c r="A50" s="5"/>
      <c r="B50" s="5"/>
      <c r="G50" s="5"/>
      <c r="H50" s="5"/>
      <c r="I50" s="599">
        <f t="shared" si="4"/>
        <v>47</v>
      </c>
      <c r="J50" s="599">
        <v>123</v>
      </c>
      <c r="K50" s="133" t="str">
        <f>IF(J50="","",VLOOKUP(J50,Nevezés!$C$2:$G$85,5,FALSE))</f>
        <v>Horváth Tibor</v>
      </c>
      <c r="L50" s="131">
        <f>IF(J50="","",VLOOKUP(J50,Eredmény!$B$4:$AB$91,27,FALSE))</f>
        <v>529</v>
      </c>
      <c r="M50" s="117"/>
      <c r="N50" s="126">
        <f t="shared" si="3"/>
        <v>58</v>
      </c>
      <c r="O50" s="132">
        <f>Eredmény!P50</f>
        <v>345</v>
      </c>
    </row>
    <row r="51" spans="1:15" ht="13.5" customHeight="1">
      <c r="A51" s="5"/>
      <c r="B51" s="5"/>
      <c r="G51" s="5"/>
      <c r="H51" s="5"/>
      <c r="I51" s="599">
        <f t="shared" si="4"/>
        <v>48</v>
      </c>
      <c r="J51" s="599">
        <v>124</v>
      </c>
      <c r="K51" s="133" t="str">
        <f>IF(J51="","",VLOOKUP(J51,Nevezés!$C$2:$G$85,5,FALSE))</f>
        <v>Antal Zoltán</v>
      </c>
      <c r="L51" s="131">
        <f>IF(J51="","",VLOOKUP(J51,Eredmény!$B$4:$AB$91,27,FALSE))</f>
        <v>598</v>
      </c>
      <c r="M51" s="117"/>
      <c r="N51" s="126">
        <f t="shared" si="3"/>
        <v>52</v>
      </c>
      <c r="O51" s="132">
        <f>Eredmény!P51</f>
        <v>420</v>
      </c>
    </row>
    <row r="52" spans="1:15" ht="13.5" customHeight="1">
      <c r="A52" s="5"/>
      <c r="B52" s="5"/>
      <c r="G52" s="5"/>
      <c r="H52" s="5"/>
      <c r="I52" s="599">
        <f t="shared" si="4"/>
        <v>49</v>
      </c>
      <c r="J52" s="599">
        <v>131</v>
      </c>
      <c r="K52" s="133" t="str">
        <f>IF(J52="","",VLOOKUP(J52,Nevezés!$C$2:$G$85,5,FALSE))</f>
        <v>Alberti Tamás</v>
      </c>
      <c r="L52" s="131">
        <f>IF(J52="","",VLOOKUP(J52,Eredmény!$B$4:$AB$91,27,FALSE))</f>
        <v>1339</v>
      </c>
      <c r="M52" s="117"/>
      <c r="N52" s="126">
        <f t="shared" si="3"/>
        <v>5</v>
      </c>
      <c r="O52" s="132">
        <f>Eredmény!P52</f>
        <v>80</v>
      </c>
    </row>
    <row r="53" spans="1:15" ht="13.5" customHeight="1">
      <c r="A53" s="5"/>
      <c r="B53" s="5"/>
      <c r="G53" s="5"/>
      <c r="H53" s="5"/>
      <c r="I53" s="599">
        <f t="shared" si="4"/>
        <v>50</v>
      </c>
      <c r="J53" s="599">
        <v>132</v>
      </c>
      <c r="K53" s="133" t="str">
        <f>IF(J53="","",VLOOKUP(J53,Nevezés!$C$2:$G$85,5,FALSE))</f>
        <v>Pankotai Zoltán Lajos</v>
      </c>
      <c r="L53" s="131">
        <f>IF(J53="","",VLOOKUP(J53,Eredmény!$B$4:$AB$91,27,FALSE))</f>
        <v>1268</v>
      </c>
      <c r="M53" s="117"/>
      <c r="N53" s="126">
        <f t="shared" si="3"/>
        <v>6</v>
      </c>
      <c r="O53" s="132">
        <f>Eredmény!P53</f>
        <v>100</v>
      </c>
    </row>
    <row r="54" spans="1:15" ht="13.5" customHeight="1">
      <c r="A54" s="5"/>
      <c r="B54" s="5"/>
      <c r="G54" s="5"/>
      <c r="H54" s="5"/>
      <c r="I54" s="599">
        <f t="shared" si="4"/>
        <v>51</v>
      </c>
      <c r="J54" s="599">
        <v>133</v>
      </c>
      <c r="K54" s="133" t="str">
        <f>IF(J54="","",VLOOKUP(J54,Nevezés!$C$2:$G$85,5,FALSE))</f>
        <v>Csati Szabolcs</v>
      </c>
      <c r="L54" s="131">
        <f>IF(J54="","",VLOOKUP(J54,Eredmény!$B$4:$AB$91,27,FALSE))</f>
        <v>1194</v>
      </c>
      <c r="M54" s="117"/>
      <c r="N54" s="126">
        <f t="shared" si="3"/>
        <v>10</v>
      </c>
      <c r="O54" s="132">
        <f>Eredmény!P54</f>
        <v>160</v>
      </c>
    </row>
    <row r="55" spans="1:15" ht="13.5" customHeight="1">
      <c r="A55" s="5"/>
      <c r="B55" s="5"/>
      <c r="G55" s="5"/>
      <c r="H55" s="5"/>
      <c r="I55" s="599">
        <f t="shared" si="4"/>
        <v>52</v>
      </c>
      <c r="J55" s="599">
        <v>134</v>
      </c>
      <c r="K55" s="133" t="str">
        <f>IF(J55="","",VLOOKUP(J55,Nevezés!$C$2:$G$85,5,FALSE))</f>
        <v>Rózsa Béla</v>
      </c>
      <c r="L55" s="131">
        <f>IF(J55="","",VLOOKUP(J55,Eredmény!$B$4:$AB$91,27,FALSE))</f>
        <v>918</v>
      </c>
      <c r="M55" s="117"/>
      <c r="N55" s="126">
        <f t="shared" si="3"/>
        <v>27</v>
      </c>
      <c r="O55" s="132">
        <f>Eredmény!P55</f>
        <v>150</v>
      </c>
    </row>
    <row r="56" spans="1:15" ht="13.5" customHeight="1">
      <c r="A56" s="5"/>
      <c r="B56" s="5"/>
      <c r="G56" s="5"/>
      <c r="H56" s="5"/>
      <c r="I56" s="599">
        <f t="shared" si="4"/>
        <v>53</v>
      </c>
      <c r="J56" s="599">
        <v>141</v>
      </c>
      <c r="K56" s="133" t="str">
        <f>IF(J56="","",VLOOKUP(J56,Nevezés!$C$2:$G$85,5,FALSE))</f>
        <v>Horváth Balázs</v>
      </c>
      <c r="L56" s="131">
        <f>IF(J56="","",VLOOKUP(J56,Eredmény!$B$4:$AB$91,27,FALSE))</f>
        <v>418</v>
      </c>
      <c r="M56" s="117"/>
      <c r="N56" s="126">
        <f t="shared" si="3"/>
        <v>59</v>
      </c>
      <c r="O56" s="132">
        <f>Eredmény!P56</f>
        <v>430</v>
      </c>
    </row>
    <row r="57" spans="1:15" ht="13.5" customHeight="1">
      <c r="A57" s="5"/>
      <c r="B57" s="5"/>
      <c r="G57" s="5"/>
      <c r="H57" s="5"/>
      <c r="I57" s="599">
        <f t="shared" si="4"/>
        <v>54</v>
      </c>
      <c r="J57" s="599">
        <v>142</v>
      </c>
      <c r="K57" s="133" t="str">
        <f>IF(J57="","",VLOOKUP(J57,Nevezés!$C$2:$G$85,5,FALSE))</f>
        <v>Szűcs Flórián</v>
      </c>
      <c r="L57" s="131">
        <f>IF(J57="","",VLOOKUP(J57,Eredmény!$B$4:$AB$91,27,FALSE))</f>
        <v>633</v>
      </c>
      <c r="M57" s="117"/>
      <c r="N57" s="126">
        <f t="shared" si="3"/>
        <v>51</v>
      </c>
      <c r="O57" s="132">
        <f>Eredmény!P57</f>
        <v>460</v>
      </c>
    </row>
    <row r="58" spans="1:15" ht="13.5" customHeight="1">
      <c r="A58" s="5"/>
      <c r="B58" s="5"/>
      <c r="G58" s="5"/>
      <c r="H58" s="5"/>
      <c r="I58" s="599">
        <f t="shared" si="4"/>
        <v>55</v>
      </c>
      <c r="J58" s="599">
        <v>143</v>
      </c>
      <c r="K58" s="133" t="str">
        <f>IF(J58="","",VLOOKUP(J58,Nevezés!$C$2:$G$85,5,FALSE))</f>
        <v>Soltész Péter</v>
      </c>
      <c r="L58" s="131">
        <f>IF(J58="","",VLOOKUP(J58,Eredmény!$B$4:$AB$91,27,FALSE))</f>
        <v>541</v>
      </c>
      <c r="M58" s="117"/>
      <c r="N58" s="126">
        <f t="shared" si="3"/>
        <v>56</v>
      </c>
      <c r="O58" s="132">
        <f>Eredmény!P58</f>
        <v>730</v>
      </c>
    </row>
    <row r="59" spans="1:15" ht="13.5" customHeight="1">
      <c r="A59" s="5"/>
      <c r="B59" s="5"/>
      <c r="G59" s="5"/>
      <c r="H59" s="5"/>
      <c r="I59" s="599">
        <f t="shared" si="4"/>
        <v>56</v>
      </c>
      <c r="J59" s="599">
        <v>144</v>
      </c>
      <c r="K59" s="133" t="e">
        <f>IF(J59="","",VLOOKUP(J59,Nevezés!$C$2:$G$85,5,FALSE))</f>
        <v>#N/A</v>
      </c>
      <c r="L59" s="131">
        <f>IF(J59="","",VLOOKUP(J59,Eredmény!$B$4:$AB$91,27,FALSE))</f>
        <v>0</v>
      </c>
      <c r="M59" s="117"/>
      <c r="N59" s="126">
        <f t="shared" si="3"/>
      </c>
      <c r="O59" s="132">
        <f>Eredmény!P59</f>
        <v>0</v>
      </c>
    </row>
    <row r="60" spans="1:15" ht="13.5" customHeight="1">
      <c r="A60" s="5"/>
      <c r="B60" s="5"/>
      <c r="G60" s="5"/>
      <c r="H60" s="5"/>
      <c r="I60" s="599">
        <f t="shared" si="4"/>
        <v>57</v>
      </c>
      <c r="J60" s="599">
        <v>151</v>
      </c>
      <c r="K60" s="133" t="str">
        <f>IF(J60="","",VLOOKUP(J60,Nevezés!$C$2:$G$85,5,FALSE))</f>
        <v>Lukács Béla</v>
      </c>
      <c r="L60" s="131">
        <f>IF(J60="","",VLOOKUP(J60,Eredmény!$B$4:$AB$91,27,FALSE))</f>
        <v>813</v>
      </c>
      <c r="M60" s="117"/>
      <c r="N60" s="126">
        <f t="shared" si="3"/>
        <v>36</v>
      </c>
      <c r="O60" s="132">
        <f>Eredmény!P60</f>
        <v>300</v>
      </c>
    </row>
    <row r="61" spans="1:15" ht="13.5" customHeight="1">
      <c r="A61" s="5"/>
      <c r="B61" s="5"/>
      <c r="G61" s="5"/>
      <c r="H61" s="5"/>
      <c r="I61" s="599">
        <f t="shared" si="4"/>
        <v>58</v>
      </c>
      <c r="J61" s="599">
        <v>152</v>
      </c>
      <c r="K61" s="133" t="str">
        <f>IF(J61="","",VLOOKUP(J61,Nevezés!$C$2:$G$85,5,FALSE))</f>
        <v>Toldi Balázs</v>
      </c>
      <c r="L61" s="131">
        <f>IF(J61="","",VLOOKUP(J61,Eredmény!$B$4:$AB$91,27,FALSE))</f>
        <v>887</v>
      </c>
      <c r="M61" s="117"/>
      <c r="N61" s="126">
        <f t="shared" si="3"/>
        <v>30</v>
      </c>
      <c r="O61" s="132">
        <f>Eredmény!P61</f>
        <v>20</v>
      </c>
    </row>
    <row r="62" spans="1:15" ht="13.5" customHeight="1">
      <c r="A62" s="5"/>
      <c r="B62" s="5"/>
      <c r="G62" s="5"/>
      <c r="H62" s="5"/>
      <c r="I62" s="599">
        <f t="shared" si="4"/>
        <v>59</v>
      </c>
      <c r="J62" s="599">
        <v>153</v>
      </c>
      <c r="K62" s="133" t="str">
        <f>IF(J62="","",VLOOKUP(J62,Nevezés!$C$2:$G$85,5,FALSE))</f>
        <v>Nagy Mihály</v>
      </c>
      <c r="L62" s="131">
        <f>IF(J62="","",VLOOKUP(J62,Eredmény!$B$4:$AB$91,27,FALSE))</f>
        <v>641</v>
      </c>
      <c r="M62" s="117"/>
      <c r="N62" s="126">
        <f t="shared" si="3"/>
        <v>50</v>
      </c>
      <c r="O62" s="132">
        <f>Eredmény!P62</f>
        <v>100</v>
      </c>
    </row>
    <row r="63" spans="1:15" ht="13.5" customHeight="1">
      <c r="A63" s="5"/>
      <c r="B63" s="5"/>
      <c r="G63" s="5"/>
      <c r="H63" s="5"/>
      <c r="I63" s="599">
        <f t="shared" si="4"/>
        <v>60</v>
      </c>
      <c r="J63" s="599">
        <v>154</v>
      </c>
      <c r="K63" s="133" t="str">
        <f>IF(J63="","",VLOOKUP(J63,Nevezés!$C$2:$G$85,5,FALSE))</f>
        <v>Zaklócki Zoltán</v>
      </c>
      <c r="L63" s="131">
        <f>IF(J63="","",VLOOKUP(J63,Eredmény!$B$4:$AB$91,27,FALSE))</f>
        <v>1078</v>
      </c>
      <c r="M63" s="117"/>
      <c r="N63" s="126">
        <f t="shared" si="3"/>
        <v>13</v>
      </c>
      <c r="O63" s="132">
        <f>Eredmény!P63</f>
        <v>50</v>
      </c>
    </row>
    <row r="64" spans="1:15" ht="13.5" customHeight="1">
      <c r="A64" s="5"/>
      <c r="B64" s="5"/>
      <c r="G64" s="5"/>
      <c r="H64" s="5"/>
      <c r="I64" s="599">
        <f t="shared" si="4"/>
        <v>61</v>
      </c>
      <c r="J64" s="599">
        <v>161</v>
      </c>
      <c r="K64" s="125" t="str">
        <f>IF(J64="","",VLOOKUP(J64,Nevezés!$C$2:$G$85,5,FALSE))</f>
        <v>Kmetz Szabolcs</v>
      </c>
      <c r="L64" s="131">
        <f>IF(J64="","",VLOOKUP(J64,Eredmény!$B$4:$AB$91,27,FALSE))</f>
        <v>1504</v>
      </c>
      <c r="M64" s="117"/>
      <c r="N64" s="130">
        <f t="shared" si="3"/>
        <v>1</v>
      </c>
      <c r="O64" s="132">
        <f>Eredmény!P64</f>
        <v>0</v>
      </c>
    </row>
    <row r="65" spans="1:15" ht="13.5" customHeight="1">
      <c r="A65" s="5"/>
      <c r="B65" s="5"/>
      <c r="G65" s="5"/>
      <c r="H65" s="5"/>
      <c r="I65" s="599">
        <f t="shared" si="4"/>
        <v>62</v>
      </c>
      <c r="J65" s="599">
        <v>162</v>
      </c>
      <c r="K65" s="125" t="str">
        <f>IF(J65="","",VLOOKUP(J65,Nevezés!$C$2:$G$85,5,FALSE))</f>
        <v>Lukács Zsolt András</v>
      </c>
      <c r="L65" s="131">
        <f>IF(J65="","",VLOOKUP(J65,Eredmény!$B$4:$AB$91,27,FALSE))</f>
        <v>1387</v>
      </c>
      <c r="M65" s="117"/>
      <c r="N65" s="126">
        <f t="shared" si="3"/>
        <v>4</v>
      </c>
      <c r="O65" s="132">
        <f>Eredmény!P65</f>
        <v>50</v>
      </c>
    </row>
    <row r="66" spans="1:15" ht="13.5" customHeight="1">
      <c r="A66" s="5"/>
      <c r="B66" s="5"/>
      <c r="G66" s="5"/>
      <c r="H66" s="5"/>
      <c r="I66" s="599">
        <f t="shared" si="4"/>
        <v>63</v>
      </c>
      <c r="J66" s="599">
        <v>163</v>
      </c>
      <c r="K66" s="125" t="str">
        <f>IF(J66="","",VLOOKUP(J66,Nevezés!$C$2:$G$85,5,FALSE))</f>
        <v>Hudák Péter</v>
      </c>
      <c r="L66" s="131">
        <f>IF(J66="","",VLOOKUP(J66,Eredmény!$B$4:$AB$91,27,FALSE))</f>
        <v>1203</v>
      </c>
      <c r="M66" s="117"/>
      <c r="N66" s="126">
        <f t="shared" si="3"/>
        <v>9</v>
      </c>
      <c r="O66" s="132">
        <f>Eredmény!P66</f>
        <v>120</v>
      </c>
    </row>
    <row r="67" spans="1:15" ht="13.5" customHeight="1">
      <c r="A67" s="5"/>
      <c r="B67" s="5"/>
      <c r="G67" s="5"/>
      <c r="H67" s="5"/>
      <c r="I67" s="599">
        <f t="shared" si="4"/>
        <v>64</v>
      </c>
      <c r="J67" s="599">
        <v>164</v>
      </c>
      <c r="K67" s="125" t="str">
        <f>IF(J67="","",VLOOKUP(J67,Nevezés!$C$2:$G$85,5,FALSE))</f>
        <v>Jaczenkó Krisztián</v>
      </c>
      <c r="L67" s="131">
        <f>IF(J67="","",VLOOKUP(J67,Eredmény!$B$4:$AB$91,27,FALSE))</f>
        <v>1437</v>
      </c>
      <c r="M67" s="117"/>
      <c r="N67" s="126">
        <f t="shared" si="3"/>
        <v>3</v>
      </c>
      <c r="O67" s="132">
        <f>Eredmény!P67</f>
        <v>0</v>
      </c>
    </row>
    <row r="68" spans="1:15" ht="13.5" customHeight="1">
      <c r="A68" s="5"/>
      <c r="B68" s="5"/>
      <c r="G68" s="5"/>
      <c r="H68" s="5"/>
      <c r="I68" s="599">
        <f t="shared" si="4"/>
        <v>65</v>
      </c>
      <c r="J68" s="599">
        <v>171</v>
      </c>
      <c r="K68" s="133" t="e">
        <f>IF(J68="","",VLOOKUP(J68,Nevezés!$C$2:$G$85,5,FALSE))</f>
        <v>#N/A</v>
      </c>
      <c r="L68" s="131">
        <f>IF(J68="","",VLOOKUP(J68,Eredmény!$B$4:$AB$91,27,FALSE))</f>
        <v>0</v>
      </c>
      <c r="M68" s="117"/>
      <c r="N68" s="126">
        <f aca="true" t="shared" si="5" ref="N68:N91">IF(L68=0,"",RANK(L68,$L$4:$L$91))</f>
      </c>
      <c r="O68" s="132">
        <f>Eredmény!P68</f>
        <v>0</v>
      </c>
    </row>
    <row r="69" spans="1:15" ht="13.5" customHeight="1">
      <c r="A69" s="5"/>
      <c r="B69" s="5"/>
      <c r="G69" s="5"/>
      <c r="H69" s="5"/>
      <c r="I69" s="599">
        <f aca="true" t="shared" si="6" ref="I69:I91">I68+1</f>
        <v>66</v>
      </c>
      <c r="J69" s="599">
        <v>172</v>
      </c>
      <c r="K69" s="133" t="e">
        <f>IF(J69="","",VLOOKUP(J69,Nevezés!$C$2:$G$85,5,FALSE))</f>
        <v>#N/A</v>
      </c>
      <c r="L69" s="131">
        <f>IF(J69="","",VLOOKUP(J69,Eredmény!$B$4:$AB$91,27,FALSE))</f>
        <v>0</v>
      </c>
      <c r="M69" s="117"/>
      <c r="N69" s="126">
        <f t="shared" si="5"/>
      </c>
      <c r="O69" s="132">
        <f>Eredmény!P69</f>
        <v>0</v>
      </c>
    </row>
    <row r="70" spans="1:15" ht="13.5" customHeight="1">
      <c r="A70" s="5"/>
      <c r="B70" s="5"/>
      <c r="G70" s="5"/>
      <c r="H70" s="5"/>
      <c r="I70" s="599">
        <f t="shared" si="6"/>
        <v>67</v>
      </c>
      <c r="J70" s="599">
        <v>173</v>
      </c>
      <c r="K70" s="133" t="e">
        <f>IF(J70="","",VLOOKUP(J70,Nevezés!$C$2:$G$85,5,FALSE))</f>
        <v>#N/A</v>
      </c>
      <c r="L70" s="131">
        <f>IF(J70="","",VLOOKUP(J70,Eredmény!$B$4:$AB$91,27,FALSE))</f>
        <v>0</v>
      </c>
      <c r="M70" s="117"/>
      <c r="N70" s="126">
        <f t="shared" si="5"/>
      </c>
      <c r="O70" s="132">
        <f>Eredmény!P70</f>
        <v>0</v>
      </c>
    </row>
    <row r="71" spans="1:15" ht="13.5" customHeight="1">
      <c r="A71" s="5"/>
      <c r="B71" s="5"/>
      <c r="G71" s="5"/>
      <c r="H71" s="5"/>
      <c r="I71" s="599">
        <f t="shared" si="6"/>
        <v>68</v>
      </c>
      <c r="J71" s="599">
        <v>174</v>
      </c>
      <c r="K71" s="133" t="e">
        <f>IF(J71="","",VLOOKUP(J71,Nevezés!$C$2:$G$85,5,FALSE))</f>
        <v>#N/A</v>
      </c>
      <c r="L71" s="131">
        <f>IF(J71="","",VLOOKUP(J71,Eredmény!$B$4:$AB$91,27,FALSE))</f>
        <v>0</v>
      </c>
      <c r="M71" s="117"/>
      <c r="N71" s="126">
        <f t="shared" si="5"/>
      </c>
      <c r="O71" s="132">
        <f>Eredmény!P71</f>
        <v>0</v>
      </c>
    </row>
    <row r="72" spans="1:15" ht="13.5" customHeight="1">
      <c r="A72" s="5"/>
      <c r="B72" s="5"/>
      <c r="G72" s="5"/>
      <c r="H72" s="5"/>
      <c r="I72" s="599">
        <f t="shared" si="6"/>
        <v>69</v>
      </c>
      <c r="J72" s="599">
        <v>181</v>
      </c>
      <c r="K72" s="133" t="e">
        <f>IF(J72="","",VLOOKUP(J72,Nevezés!$C$2:$G$85,5,FALSE))</f>
        <v>#N/A</v>
      </c>
      <c r="L72" s="131">
        <f>IF(J72="","",VLOOKUP(J72,Eredmény!$B$4:$AB$91,27,FALSE))</f>
        <v>0</v>
      </c>
      <c r="M72" s="117"/>
      <c r="N72" s="126">
        <f t="shared" si="5"/>
      </c>
      <c r="O72" s="132">
        <f>Eredmény!P72</f>
        <v>0</v>
      </c>
    </row>
    <row r="73" spans="1:15" ht="13.5" customHeight="1">
      <c r="A73" s="5"/>
      <c r="B73" s="5"/>
      <c r="G73" s="5"/>
      <c r="H73" s="5"/>
      <c r="I73" s="599">
        <f t="shared" si="6"/>
        <v>70</v>
      </c>
      <c r="J73" s="599">
        <v>182</v>
      </c>
      <c r="K73" s="133" t="e">
        <f>IF(J73="","",VLOOKUP(J73,Nevezés!$C$2:$G$85,5,FALSE))</f>
        <v>#N/A</v>
      </c>
      <c r="L73" s="131">
        <f>IF(J73="","",VLOOKUP(J73,Eredmény!$B$4:$AB$91,27,FALSE))</f>
        <v>0</v>
      </c>
      <c r="M73" s="117"/>
      <c r="N73" s="126">
        <f t="shared" si="5"/>
      </c>
      <c r="O73" s="132">
        <f>Eredmény!P73</f>
        <v>0</v>
      </c>
    </row>
    <row r="74" spans="1:15" ht="13.5" customHeight="1">
      <c r="A74" s="5"/>
      <c r="B74" s="5"/>
      <c r="G74" s="5"/>
      <c r="H74" s="5"/>
      <c r="I74" s="599">
        <f t="shared" si="6"/>
        <v>71</v>
      </c>
      <c r="J74" s="599">
        <v>183</v>
      </c>
      <c r="K74" s="133" t="e">
        <f>IF(J74="","",VLOOKUP(J74,Nevezés!$C$2:$G$85,5,FALSE))</f>
        <v>#N/A</v>
      </c>
      <c r="L74" s="131">
        <f>IF(J74="","",VLOOKUP(J74,Eredmény!$B$4:$AB$91,27,FALSE))</f>
        <v>0</v>
      </c>
      <c r="M74" s="117"/>
      <c r="N74" s="126">
        <f t="shared" si="5"/>
      </c>
      <c r="O74" s="132">
        <f>Eredmény!P74</f>
        <v>0</v>
      </c>
    </row>
    <row r="75" spans="1:15" ht="13.5" customHeight="1">
      <c r="A75" s="5"/>
      <c r="B75" s="5"/>
      <c r="G75" s="5"/>
      <c r="H75" s="5"/>
      <c r="I75" s="599">
        <f t="shared" si="6"/>
        <v>72</v>
      </c>
      <c r="J75" s="599">
        <v>184</v>
      </c>
      <c r="K75" s="133" t="e">
        <f>IF(J75="","",VLOOKUP(J75,Nevezés!$C$2:$G$85,5,FALSE))</f>
        <v>#N/A</v>
      </c>
      <c r="L75" s="131">
        <f>IF(J75="","",VLOOKUP(J75,Eredmény!$B$4:$AB$91,27,FALSE))</f>
        <v>0</v>
      </c>
      <c r="M75" s="117"/>
      <c r="N75" s="126">
        <f t="shared" si="5"/>
      </c>
      <c r="O75" s="132">
        <f>Eredmény!P75</f>
        <v>0</v>
      </c>
    </row>
    <row r="76" spans="1:15" ht="13.5" customHeight="1">
      <c r="A76" s="5"/>
      <c r="B76" s="5"/>
      <c r="G76" s="5"/>
      <c r="H76" s="5"/>
      <c r="I76" s="599">
        <f t="shared" si="6"/>
        <v>73</v>
      </c>
      <c r="J76" s="599">
        <v>191</v>
      </c>
      <c r="K76" s="133" t="e">
        <f>IF(J76="","",VLOOKUP(J76,Nevezés!$C$2:$G$85,5,FALSE))</f>
        <v>#N/A</v>
      </c>
      <c r="L76" s="131">
        <f>IF(J76="","",VLOOKUP(J76,Eredmény!$B$4:$AB$91,27,FALSE))</f>
        <v>0</v>
      </c>
      <c r="M76" s="117"/>
      <c r="N76" s="126">
        <f t="shared" si="5"/>
      </c>
      <c r="O76" s="132">
        <f>Eredmény!P76</f>
        <v>0</v>
      </c>
    </row>
    <row r="77" spans="1:15" ht="13.5" customHeight="1">
      <c r="A77" s="5"/>
      <c r="B77" s="5"/>
      <c r="G77" s="5"/>
      <c r="H77" s="5"/>
      <c r="I77" s="599">
        <f t="shared" si="6"/>
        <v>74</v>
      </c>
      <c r="J77" s="599">
        <v>192</v>
      </c>
      <c r="K77" s="133" t="e">
        <f>IF(J77="","",VLOOKUP(J77,Nevezés!$C$2:$G$85,5,FALSE))</f>
        <v>#N/A</v>
      </c>
      <c r="L77" s="131">
        <f>IF(J77="","",VLOOKUP(J77,Eredmény!$B$4:$AB$91,27,FALSE))</f>
        <v>0</v>
      </c>
      <c r="M77" s="117"/>
      <c r="N77" s="126">
        <f t="shared" si="5"/>
      </c>
      <c r="O77" s="132">
        <f>Eredmény!P77</f>
        <v>0</v>
      </c>
    </row>
    <row r="78" spans="1:15" ht="13.5" customHeight="1">
      <c r="A78" s="5"/>
      <c r="B78" s="5"/>
      <c r="G78" s="5"/>
      <c r="H78" s="5"/>
      <c r="I78" s="599">
        <f t="shared" si="6"/>
        <v>75</v>
      </c>
      <c r="J78" s="599">
        <v>193</v>
      </c>
      <c r="K78" s="133" t="e">
        <f>IF(J78="","",VLOOKUP(J78,Nevezés!$C$2:$G$85,5,FALSE))</f>
        <v>#N/A</v>
      </c>
      <c r="L78" s="131">
        <f>IF(J78="","",VLOOKUP(J78,Eredmény!$B$4:$AB$91,27,FALSE))</f>
        <v>0</v>
      </c>
      <c r="M78" s="117"/>
      <c r="N78" s="126">
        <f t="shared" si="5"/>
      </c>
      <c r="O78" s="132">
        <f>Eredmény!P78</f>
        <v>0</v>
      </c>
    </row>
    <row r="79" spans="1:15" ht="13.5" customHeight="1">
      <c r="A79" s="5"/>
      <c r="B79" s="5"/>
      <c r="G79" s="5"/>
      <c r="H79" s="5"/>
      <c r="I79" s="599">
        <f t="shared" si="6"/>
        <v>76</v>
      </c>
      <c r="J79" s="599">
        <v>194</v>
      </c>
      <c r="K79" s="133" t="e">
        <f>IF(J79="","",VLOOKUP(J79,Nevezés!$C$2:$G$85,5,FALSE))</f>
        <v>#N/A</v>
      </c>
      <c r="L79" s="131">
        <f>IF(J79="","",VLOOKUP(J79,Eredmény!$B$4:$AB$91,27,FALSE))</f>
        <v>0</v>
      </c>
      <c r="M79" s="117"/>
      <c r="N79" s="126">
        <f t="shared" si="5"/>
      </c>
      <c r="O79" s="132">
        <f>Eredmény!P79</f>
        <v>0</v>
      </c>
    </row>
    <row r="80" spans="1:15" ht="13.5" customHeight="1">
      <c r="A80" s="5"/>
      <c r="B80" s="5"/>
      <c r="G80" s="5"/>
      <c r="H80" s="5"/>
      <c r="I80" s="599">
        <f t="shared" si="6"/>
        <v>77</v>
      </c>
      <c r="J80" s="599">
        <v>201</v>
      </c>
      <c r="K80" s="125" t="e">
        <f>IF(J80="","",VLOOKUP(J80,Nevezés!$C$2:$G$85,5,FALSE))</f>
        <v>#N/A</v>
      </c>
      <c r="L80" s="131">
        <f>IF(J80="","",VLOOKUP(J80,Eredmény!$B$4:$AB$91,27,FALSE))</f>
        <v>0</v>
      </c>
      <c r="M80" s="117"/>
      <c r="N80" s="130">
        <f t="shared" si="5"/>
      </c>
      <c r="O80" s="132">
        <f>Eredmény!P80</f>
        <v>0</v>
      </c>
    </row>
    <row r="81" spans="1:15" ht="13.5" customHeight="1">
      <c r="A81" s="5"/>
      <c r="B81" s="5"/>
      <c r="G81" s="5"/>
      <c r="H81" s="5"/>
      <c r="I81" s="599">
        <f t="shared" si="6"/>
        <v>78</v>
      </c>
      <c r="J81" s="599">
        <v>202</v>
      </c>
      <c r="K81" s="125" t="e">
        <f>IF(J81="","",VLOOKUP(J81,Nevezés!$C$2:$G$85,5,FALSE))</f>
        <v>#N/A</v>
      </c>
      <c r="L81" s="131">
        <f>IF(J81="","",VLOOKUP(J81,Eredmény!$B$4:$AB$91,27,FALSE))</f>
        <v>0</v>
      </c>
      <c r="M81" s="117"/>
      <c r="N81" s="130">
        <f t="shared" si="5"/>
      </c>
      <c r="O81" s="132">
        <f>Eredmény!P81</f>
        <v>0</v>
      </c>
    </row>
    <row r="82" spans="1:15" ht="13.5" customHeight="1">
      <c r="A82" s="5"/>
      <c r="B82" s="5"/>
      <c r="G82" s="5"/>
      <c r="H82" s="5"/>
      <c r="I82" s="599">
        <f t="shared" si="6"/>
        <v>79</v>
      </c>
      <c r="J82" s="599">
        <v>203</v>
      </c>
      <c r="K82" s="125" t="e">
        <f>IF(J82="","",VLOOKUP(J82,Nevezés!$C$2:$G$85,5,FALSE))</f>
        <v>#N/A</v>
      </c>
      <c r="L82" s="131">
        <f>IF(J82="","",VLOOKUP(J82,Eredmény!$B$4:$AB$91,27,FALSE))</f>
        <v>0</v>
      </c>
      <c r="M82" s="117"/>
      <c r="N82" s="130">
        <f t="shared" si="5"/>
      </c>
      <c r="O82" s="132">
        <f>Eredmény!P82</f>
        <v>0</v>
      </c>
    </row>
    <row r="83" spans="1:15" ht="13.5" customHeight="1">
      <c r="A83" s="5"/>
      <c r="B83" s="5"/>
      <c r="G83" s="5"/>
      <c r="H83" s="5"/>
      <c r="I83" s="599">
        <f t="shared" si="6"/>
        <v>80</v>
      </c>
      <c r="J83" s="599">
        <v>204</v>
      </c>
      <c r="K83" s="125" t="e">
        <f>IF(J83="","",VLOOKUP(J83,Nevezés!$C$2:$G$85,5,FALSE))</f>
        <v>#N/A</v>
      </c>
      <c r="L83" s="131">
        <f>IF(J83="","",VLOOKUP(J83,Eredmény!$B$4:$AB$91,27,FALSE))</f>
        <v>0</v>
      </c>
      <c r="M83" s="117"/>
      <c r="N83" s="130">
        <f t="shared" si="5"/>
      </c>
      <c r="O83" s="132">
        <f>Eredmény!P83</f>
        <v>0</v>
      </c>
    </row>
    <row r="84" spans="1:15" ht="13.5" customHeight="1">
      <c r="A84" s="5"/>
      <c r="B84" s="5"/>
      <c r="G84" s="5"/>
      <c r="H84" s="5"/>
      <c r="I84" s="599">
        <f t="shared" si="6"/>
        <v>81</v>
      </c>
      <c r="J84" s="599">
        <v>211</v>
      </c>
      <c r="K84" s="133" t="e">
        <f>IF(J84="","",VLOOKUP(J84,Nevezés!$C$2:$G$85,5,FALSE))</f>
        <v>#N/A</v>
      </c>
      <c r="L84" s="131">
        <f>IF(J84="","",VLOOKUP(J84,Eredmény!$B$4:$AB$91,27,FALSE))</f>
        <v>0</v>
      </c>
      <c r="M84" s="117"/>
      <c r="N84" s="126">
        <f t="shared" si="5"/>
      </c>
      <c r="O84" s="132">
        <f>Eredmény!P84</f>
        <v>0</v>
      </c>
    </row>
    <row r="85" spans="1:15" ht="13.5" customHeight="1">
      <c r="A85" s="5"/>
      <c r="B85" s="5"/>
      <c r="G85" s="5"/>
      <c r="H85" s="5"/>
      <c r="I85" s="599">
        <f t="shared" si="6"/>
        <v>82</v>
      </c>
      <c r="J85" s="599">
        <v>212</v>
      </c>
      <c r="K85" s="133" t="e">
        <f>IF(J85="","",VLOOKUP(J85,Nevezés!$C$2:$G$85,5,FALSE))</f>
        <v>#N/A</v>
      </c>
      <c r="L85" s="131">
        <f>IF(J85="","",VLOOKUP(J85,Eredmény!$B$4:$AB$91,27,FALSE))</f>
        <v>0</v>
      </c>
      <c r="M85" s="117"/>
      <c r="N85" s="126">
        <f t="shared" si="5"/>
      </c>
      <c r="O85" s="132">
        <f>Eredmény!P85</f>
        <v>0</v>
      </c>
    </row>
    <row r="86" spans="1:15" ht="13.5" customHeight="1">
      <c r="A86" s="5"/>
      <c r="B86" s="5"/>
      <c r="G86" s="5"/>
      <c r="H86" s="5"/>
      <c r="I86" s="599">
        <f t="shared" si="6"/>
        <v>83</v>
      </c>
      <c r="J86" s="599">
        <v>213</v>
      </c>
      <c r="K86" s="133" t="e">
        <f>IF(J86="","",VLOOKUP(J86,Nevezés!$C$2:$G$85,5,FALSE))</f>
        <v>#N/A</v>
      </c>
      <c r="L86" s="131">
        <f>IF(J86="","",VLOOKUP(J86,Eredmény!$B$4:$AB$91,27,FALSE))</f>
        <v>0</v>
      </c>
      <c r="M86" s="117"/>
      <c r="N86" s="126">
        <f t="shared" si="5"/>
      </c>
      <c r="O86" s="132">
        <f>Eredmény!P86</f>
        <v>0</v>
      </c>
    </row>
    <row r="87" spans="1:15" ht="13.5" customHeight="1">
      <c r="A87" s="5"/>
      <c r="B87" s="5"/>
      <c r="G87" s="5"/>
      <c r="H87" s="5"/>
      <c r="I87" s="599">
        <f t="shared" si="6"/>
        <v>84</v>
      </c>
      <c r="J87" s="599">
        <v>214</v>
      </c>
      <c r="K87" s="133" t="e">
        <f>IF(J87="","",VLOOKUP(J87,Nevezés!$C$2:$G$85,5,FALSE))</f>
        <v>#N/A</v>
      </c>
      <c r="L87" s="131">
        <f>IF(J87="","",VLOOKUP(J87,Eredmény!$B$4:$AB$91,27,FALSE))</f>
        <v>0</v>
      </c>
      <c r="M87" s="117"/>
      <c r="N87" s="126">
        <f t="shared" si="5"/>
      </c>
      <c r="O87" s="132">
        <f>Eredmény!P87</f>
        <v>0</v>
      </c>
    </row>
    <row r="88" spans="1:15" ht="13.5" customHeight="1">
      <c r="A88" s="5"/>
      <c r="B88" s="5"/>
      <c r="G88" s="5"/>
      <c r="H88" s="5"/>
      <c r="I88" s="599">
        <f t="shared" si="6"/>
        <v>85</v>
      </c>
      <c r="J88" s="599">
        <v>221</v>
      </c>
      <c r="K88" s="133" t="e">
        <f>IF(J88="","",VLOOKUP(J88,Nevezés!$C$2:$G$85,5,FALSE))</f>
        <v>#N/A</v>
      </c>
      <c r="L88" s="131">
        <f>IF(J88="","",VLOOKUP(J88,Eredmény!$B$4:$AB$91,27,FALSE))</f>
        <v>0</v>
      </c>
      <c r="M88" s="117"/>
      <c r="N88" s="126">
        <f t="shared" si="5"/>
      </c>
      <c r="O88" s="132">
        <f>Eredmény!P88</f>
        <v>0</v>
      </c>
    </row>
    <row r="89" spans="1:15" ht="13.5" customHeight="1">
      <c r="A89" s="5"/>
      <c r="B89" s="5"/>
      <c r="G89" s="5"/>
      <c r="H89" s="5"/>
      <c r="I89" s="599">
        <f t="shared" si="6"/>
        <v>86</v>
      </c>
      <c r="J89" s="599">
        <v>222</v>
      </c>
      <c r="K89" s="133" t="e">
        <f>IF(J89="","",VLOOKUP(J89,Nevezés!$C$2:$G$85,5,FALSE))</f>
        <v>#N/A</v>
      </c>
      <c r="L89" s="131">
        <f>IF(J89="","",VLOOKUP(J89,Eredmény!$B$4:$AB$91,27,FALSE))</f>
        <v>0</v>
      </c>
      <c r="M89" s="117"/>
      <c r="N89" s="126">
        <f t="shared" si="5"/>
      </c>
      <c r="O89" s="132">
        <f>Eredmény!P89</f>
        <v>0</v>
      </c>
    </row>
    <row r="90" spans="1:15" ht="13.5" customHeight="1">
      <c r="A90" s="5"/>
      <c r="B90" s="5"/>
      <c r="G90" s="5"/>
      <c r="H90" s="5"/>
      <c r="I90" s="599">
        <f t="shared" si="6"/>
        <v>87</v>
      </c>
      <c r="J90" s="599">
        <v>223</v>
      </c>
      <c r="K90" s="133" t="e">
        <f>IF(J90="","",VLOOKUP(J90,Nevezés!$C$2:$G$85,5,FALSE))</f>
        <v>#N/A</v>
      </c>
      <c r="L90" s="131">
        <f>IF(J90="","",VLOOKUP(J90,Eredmény!$B$4:$AB$91,27,FALSE))</f>
        <v>0</v>
      </c>
      <c r="M90" s="117"/>
      <c r="N90" s="126">
        <f t="shared" si="5"/>
      </c>
      <c r="O90" s="132">
        <f>Eredmény!P90</f>
        <v>0</v>
      </c>
    </row>
    <row r="91" spans="1:15" ht="13.5" customHeight="1">
      <c r="A91" s="5"/>
      <c r="B91" s="5"/>
      <c r="G91" s="5"/>
      <c r="H91" s="5"/>
      <c r="I91" s="602">
        <f t="shared" si="6"/>
        <v>88</v>
      </c>
      <c r="J91" s="602">
        <v>224</v>
      </c>
      <c r="K91" s="135" t="e">
        <f>IF(J91="","",VLOOKUP(J91,Nevezés!$C$2:$G$85,5,FALSE))</f>
        <v>#N/A</v>
      </c>
      <c r="L91" s="136">
        <f>IF(J91="","",VLOOKUP(J91,Eredmény!$B$4:$AB$91,27,FALSE))</f>
        <v>0</v>
      </c>
      <c r="M91" s="134"/>
      <c r="N91" s="137">
        <f t="shared" si="5"/>
      </c>
      <c r="O91" s="138">
        <f>Eredmény!P91</f>
        <v>0</v>
      </c>
    </row>
    <row r="92" spans="1:8" ht="14.25" customHeight="1">
      <c r="A92" s="5"/>
      <c r="B92" s="5"/>
      <c r="G92" s="5"/>
      <c r="H92" s="5"/>
    </row>
    <row r="93" spans="1:6" ht="14.25" customHeight="1">
      <c r="A93" s="607"/>
      <c r="B93" s="607"/>
      <c r="C93" s="241"/>
      <c r="D93" s="241"/>
      <c r="E93" s="241"/>
      <c r="F93" s="241"/>
    </row>
  </sheetData>
  <sheetProtection password="E074" sheet="1" objects="1" scenarios="1"/>
  <conditionalFormatting sqref="F4:G25">
    <cfRule type="cellIs" priority="1" dxfId="3" operator="equal" stopIfTrue="1">
      <formula>1</formula>
    </cfRule>
    <cfRule type="cellIs" priority="2" dxfId="3" operator="equal" stopIfTrue="1">
      <formula>3</formula>
    </cfRule>
    <cfRule type="cellIs" priority="3" dxfId="3" operator="equal" stopIfTrue="1">
      <formula>2</formula>
    </cfRule>
  </conditionalFormatting>
  <conditionalFormatting sqref="N4:O91">
    <cfRule type="cellIs" priority="4" dxfId="3" operator="equal" stopIfTrue="1">
      <formula>1</formula>
    </cfRule>
    <cfRule type="cellIs" priority="5" dxfId="3" operator="equal" stopIfTrue="1">
      <formula>2</formula>
    </cfRule>
    <cfRule type="cellIs" priority="6" dxfId="3" operator="equal" stopIfTrue="1">
      <formula>3</formula>
    </cfRule>
  </conditionalFormatting>
  <printOptions/>
  <pageMargins left="0.7875" right="0.354861" top="0.577083" bottom="0.576389" header="0.511806" footer="0.511806"/>
  <pageSetup horizontalDpi="600" verticalDpi="600" orientation="portrait" scale="85"/>
  <headerFooter alignWithMargins="0">
    <oddFooter>&amp;C000000&amp;P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2:T48"/>
  <sheetViews>
    <sheetView showGridLines="0" workbookViewId="0" topLeftCell="A1">
      <selection activeCell="C31" sqref="C31"/>
    </sheetView>
  </sheetViews>
  <sheetFormatPr defaultColWidth="8.8515625" defaultRowHeight="12" customHeight="1"/>
  <cols>
    <col min="1" max="1" width="4.421875" style="5" customWidth="1"/>
    <col min="2" max="2" width="15.28125" style="5" customWidth="1"/>
    <col min="3" max="3" width="42.421875" style="5" customWidth="1"/>
    <col min="4" max="5" width="8.8515625" style="5" customWidth="1"/>
    <col min="6" max="6" width="6.00390625" style="5" customWidth="1"/>
    <col min="7" max="8" width="4.421875" style="5" customWidth="1"/>
    <col min="9" max="9" width="13.421875" style="5" customWidth="1"/>
    <col min="10" max="10" width="35.421875" style="5" customWidth="1"/>
    <col min="11" max="12" width="8.8515625" style="5" customWidth="1"/>
    <col min="13" max="14" width="8.421875" style="5" customWidth="1"/>
    <col min="15" max="15" width="4.421875" style="5" customWidth="1"/>
    <col min="16" max="16" width="13.421875" style="5" customWidth="1"/>
    <col min="17" max="17" width="35.421875" style="5" customWidth="1"/>
    <col min="18" max="19" width="8.8515625" style="5" customWidth="1"/>
    <col min="20" max="20" width="8.421875" style="5" customWidth="1"/>
    <col min="21" max="16384" width="8.8515625" style="5" customWidth="1"/>
  </cols>
  <sheetData>
    <row r="2" spans="1:20" ht="15.75" customHeight="1">
      <c r="A2" s="10"/>
      <c r="B2" s="684" t="s">
        <v>185</v>
      </c>
      <c r="C2" s="10"/>
      <c r="D2" s="10"/>
      <c r="E2" s="10"/>
      <c r="F2" s="10"/>
      <c r="G2" s="10"/>
      <c r="H2" s="10"/>
      <c r="I2" s="684" t="s">
        <v>186</v>
      </c>
      <c r="J2" s="10"/>
      <c r="K2" s="10"/>
      <c r="L2" s="10"/>
      <c r="M2" s="10"/>
      <c r="N2" s="10"/>
      <c r="O2" s="10"/>
      <c r="P2" s="684" t="s">
        <v>187</v>
      </c>
      <c r="Q2" s="10"/>
      <c r="R2" s="10"/>
      <c r="S2" s="10"/>
      <c r="T2" s="10"/>
    </row>
    <row r="3" spans="1:20" ht="15.75" customHeight="1">
      <c r="A3" s="10"/>
      <c r="B3" s="139"/>
      <c r="C3" s="10"/>
      <c r="D3" s="10"/>
      <c r="E3" s="10"/>
      <c r="F3" s="10"/>
      <c r="G3" s="10"/>
      <c r="H3" s="10"/>
      <c r="I3" s="139"/>
      <c r="J3" s="10"/>
      <c r="K3" s="10"/>
      <c r="L3" s="10"/>
      <c r="M3" s="10"/>
      <c r="N3" s="10"/>
      <c r="O3" s="10"/>
      <c r="P3" s="139"/>
      <c r="Q3" s="10"/>
      <c r="R3" s="10"/>
      <c r="S3" s="10"/>
      <c r="T3" s="10"/>
    </row>
    <row r="4" spans="1:20" ht="15.75" customHeight="1">
      <c r="A4" s="10"/>
      <c r="B4" s="140" t="s">
        <v>188</v>
      </c>
      <c r="C4" s="141"/>
      <c r="D4" s="142"/>
      <c r="E4" s="141"/>
      <c r="F4" s="142"/>
      <c r="G4" s="10"/>
      <c r="H4" s="10"/>
      <c r="I4" s="28" t="s">
        <v>189</v>
      </c>
      <c r="J4" s="10"/>
      <c r="K4" s="10"/>
      <c r="L4" s="10"/>
      <c r="M4" s="10"/>
      <c r="N4" s="10"/>
      <c r="O4" s="10"/>
      <c r="P4" s="28" t="s">
        <v>189</v>
      </c>
      <c r="Q4" s="10"/>
      <c r="R4" s="10"/>
      <c r="S4" s="10"/>
      <c r="T4" s="10"/>
    </row>
    <row r="5" spans="1:20" ht="15.75" customHeight="1">
      <c r="A5" s="152"/>
      <c r="B5" s="143" t="s">
        <v>190</v>
      </c>
      <c r="C5" s="144"/>
      <c r="D5" s="145" t="s">
        <v>191</v>
      </c>
      <c r="E5" s="146"/>
      <c r="F5" s="147" t="s">
        <v>192</v>
      </c>
      <c r="G5" s="10"/>
      <c r="H5" s="10"/>
      <c r="I5" s="148" t="s">
        <v>193</v>
      </c>
      <c r="J5" s="149"/>
      <c r="K5" s="10"/>
      <c r="L5" s="149"/>
      <c r="M5" s="10"/>
      <c r="N5" s="10"/>
      <c r="O5" s="10"/>
      <c r="P5" s="148" t="s">
        <v>193</v>
      </c>
      <c r="Q5" s="149"/>
      <c r="R5" s="10"/>
      <c r="S5" s="149"/>
      <c r="T5" s="10"/>
    </row>
    <row r="6" spans="1:20" ht="15.75" customHeight="1">
      <c r="A6" s="152"/>
      <c r="B6" s="150" t="s">
        <v>194</v>
      </c>
      <c r="C6" s="144"/>
      <c r="D6" s="151" t="s">
        <v>195</v>
      </c>
      <c r="E6" s="146"/>
      <c r="F6" s="147" t="s">
        <v>192</v>
      </c>
      <c r="G6" s="10"/>
      <c r="H6" s="152"/>
      <c r="I6" s="153"/>
      <c r="J6" s="144"/>
      <c r="K6" s="145" t="s">
        <v>191</v>
      </c>
      <c r="L6" s="146"/>
      <c r="M6" s="147" t="s">
        <v>192</v>
      </c>
      <c r="N6" s="154"/>
      <c r="O6" s="152"/>
      <c r="P6" s="153"/>
      <c r="Q6" s="144"/>
      <c r="R6" s="145" t="s">
        <v>191</v>
      </c>
      <c r="S6" s="146"/>
      <c r="T6" s="147" t="s">
        <v>192</v>
      </c>
    </row>
    <row r="7" spans="1:20" ht="15.75" customHeight="1">
      <c r="A7" s="152"/>
      <c r="B7" s="150" t="s">
        <v>196</v>
      </c>
      <c r="C7" s="144"/>
      <c r="D7" s="151" t="s">
        <v>195</v>
      </c>
      <c r="E7" s="146"/>
      <c r="F7" s="147" t="s">
        <v>192</v>
      </c>
      <c r="G7" s="10"/>
      <c r="H7" s="10"/>
      <c r="I7" s="155"/>
      <c r="J7" s="156" t="s">
        <v>197</v>
      </c>
      <c r="K7" s="10"/>
      <c r="L7" s="155"/>
      <c r="M7" s="10"/>
      <c r="N7" s="10"/>
      <c r="O7" s="10"/>
      <c r="P7" s="155"/>
      <c r="Q7" s="156" t="s">
        <v>197</v>
      </c>
      <c r="R7" s="10"/>
      <c r="S7" s="155"/>
      <c r="T7" s="10"/>
    </row>
    <row r="8" spans="1:20" ht="15.75" customHeight="1">
      <c r="A8" s="10"/>
      <c r="B8" s="157"/>
      <c r="C8" s="155"/>
      <c r="D8" s="10"/>
      <c r="E8" s="155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5.75" customHeight="1">
      <c r="A9" s="10"/>
      <c r="B9" s="140" t="s">
        <v>198</v>
      </c>
      <c r="C9" s="141"/>
      <c r="D9" s="142"/>
      <c r="E9" s="141"/>
      <c r="F9" s="142"/>
      <c r="G9" s="10"/>
      <c r="H9" s="10"/>
      <c r="I9" s="28" t="s">
        <v>199</v>
      </c>
      <c r="J9" s="10"/>
      <c r="K9" s="10"/>
      <c r="L9" s="10"/>
      <c r="M9" s="10"/>
      <c r="N9" s="10"/>
      <c r="O9" s="10"/>
      <c r="P9" s="28" t="s">
        <v>199</v>
      </c>
      <c r="Q9" s="10"/>
      <c r="R9" s="10"/>
      <c r="S9" s="10"/>
      <c r="T9" s="10"/>
    </row>
    <row r="10" spans="1:20" ht="15.75" customHeight="1">
      <c r="A10" s="152"/>
      <c r="B10" s="143" t="s">
        <v>190</v>
      </c>
      <c r="C10" s="144"/>
      <c r="D10" s="145" t="s">
        <v>191</v>
      </c>
      <c r="E10" s="146"/>
      <c r="F10" s="147" t="s">
        <v>192</v>
      </c>
      <c r="G10" s="10"/>
      <c r="H10" s="10"/>
      <c r="I10" s="148" t="s">
        <v>193</v>
      </c>
      <c r="J10" s="149"/>
      <c r="K10" s="10"/>
      <c r="L10" s="149"/>
      <c r="M10" s="10"/>
      <c r="N10" s="10"/>
      <c r="O10" s="10"/>
      <c r="P10" s="148" t="s">
        <v>193</v>
      </c>
      <c r="Q10" s="149"/>
      <c r="R10" s="10"/>
      <c r="S10" s="149"/>
      <c r="T10" s="10"/>
    </row>
    <row r="11" spans="1:20" ht="15.75" customHeight="1">
      <c r="A11" s="152"/>
      <c r="B11" s="150" t="s">
        <v>194</v>
      </c>
      <c r="C11" s="144"/>
      <c r="D11" s="151" t="s">
        <v>195</v>
      </c>
      <c r="E11" s="146"/>
      <c r="F11" s="147" t="s">
        <v>192</v>
      </c>
      <c r="G11" s="10"/>
      <c r="H11" s="152"/>
      <c r="I11" s="153"/>
      <c r="J11" s="144"/>
      <c r="K11" s="145" t="s">
        <v>191</v>
      </c>
      <c r="L11" s="146"/>
      <c r="M11" s="147" t="s">
        <v>192</v>
      </c>
      <c r="N11" s="154"/>
      <c r="O11" s="152"/>
      <c r="P11" s="153"/>
      <c r="Q11" s="144"/>
      <c r="R11" s="145" t="s">
        <v>191</v>
      </c>
      <c r="S11" s="146"/>
      <c r="T11" s="147" t="s">
        <v>192</v>
      </c>
    </row>
    <row r="12" spans="1:20" ht="15.75" customHeight="1">
      <c r="A12" s="152"/>
      <c r="B12" s="150" t="s">
        <v>196</v>
      </c>
      <c r="C12" s="144"/>
      <c r="D12" s="151" t="s">
        <v>195</v>
      </c>
      <c r="E12" s="146"/>
      <c r="F12" s="147" t="s">
        <v>192</v>
      </c>
      <c r="G12" s="10"/>
      <c r="H12" s="10"/>
      <c r="I12" s="155"/>
      <c r="J12" s="156" t="s">
        <v>200</v>
      </c>
      <c r="K12" s="10"/>
      <c r="L12" s="155"/>
      <c r="M12" s="10"/>
      <c r="N12" s="10"/>
      <c r="O12" s="10"/>
      <c r="P12" s="155"/>
      <c r="Q12" s="156" t="s">
        <v>200</v>
      </c>
      <c r="R12" s="10"/>
      <c r="S12" s="155"/>
      <c r="T12" s="10"/>
    </row>
    <row r="13" spans="1:20" ht="15.75" customHeight="1">
      <c r="A13" s="10"/>
      <c r="B13" s="157"/>
      <c r="C13" s="155"/>
      <c r="D13" s="10"/>
      <c r="E13" s="15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5.75" customHeight="1">
      <c r="A14" s="10"/>
      <c r="B14" s="140" t="s">
        <v>201</v>
      </c>
      <c r="C14" s="141"/>
      <c r="D14" s="142"/>
      <c r="E14" s="141"/>
      <c r="F14" s="142"/>
      <c r="G14" s="10"/>
      <c r="H14" s="10"/>
      <c r="I14" s="28" t="s">
        <v>202</v>
      </c>
      <c r="J14" s="10"/>
      <c r="K14" s="10"/>
      <c r="L14" s="10"/>
      <c r="M14" s="10"/>
      <c r="N14" s="10"/>
      <c r="O14" s="10"/>
      <c r="P14" s="28" t="s">
        <v>202</v>
      </c>
      <c r="Q14" s="10"/>
      <c r="R14" s="10"/>
      <c r="S14" s="10"/>
      <c r="T14" s="10"/>
    </row>
    <row r="15" spans="1:20" ht="15.75" customHeight="1">
      <c r="A15" s="152"/>
      <c r="B15" s="143" t="s">
        <v>190</v>
      </c>
      <c r="C15" s="144"/>
      <c r="D15" s="145" t="s">
        <v>191</v>
      </c>
      <c r="E15" s="146"/>
      <c r="F15" s="147" t="s">
        <v>192</v>
      </c>
      <c r="G15" s="10"/>
      <c r="H15" s="10"/>
      <c r="I15" s="148" t="s">
        <v>203</v>
      </c>
      <c r="J15" s="149"/>
      <c r="K15" s="10"/>
      <c r="L15" s="149"/>
      <c r="M15" s="10"/>
      <c r="N15" s="10"/>
      <c r="O15" s="10"/>
      <c r="P15" s="148" t="s">
        <v>203</v>
      </c>
      <c r="Q15" s="149"/>
      <c r="R15" s="10"/>
      <c r="S15" s="149"/>
      <c r="T15" s="10"/>
    </row>
    <row r="16" spans="1:20" ht="15.75" customHeight="1">
      <c r="A16" s="152"/>
      <c r="B16" s="150" t="s">
        <v>194</v>
      </c>
      <c r="C16" s="144"/>
      <c r="D16" s="151" t="s">
        <v>195</v>
      </c>
      <c r="E16" s="146"/>
      <c r="F16" s="147" t="s">
        <v>192</v>
      </c>
      <c r="G16" s="10"/>
      <c r="H16" s="152"/>
      <c r="I16" s="153"/>
      <c r="J16" s="144"/>
      <c r="K16" s="145" t="s">
        <v>191</v>
      </c>
      <c r="L16" s="146"/>
      <c r="M16" s="147" t="s">
        <v>192</v>
      </c>
      <c r="N16" s="154"/>
      <c r="O16" s="152"/>
      <c r="P16" s="153"/>
      <c r="Q16" s="144"/>
      <c r="R16" s="145" t="s">
        <v>191</v>
      </c>
      <c r="S16" s="146"/>
      <c r="T16" s="147" t="s">
        <v>192</v>
      </c>
    </row>
    <row r="17" spans="1:20" ht="15.75" customHeight="1">
      <c r="A17" s="152"/>
      <c r="B17" s="150" t="s">
        <v>196</v>
      </c>
      <c r="C17" s="144"/>
      <c r="D17" s="151" t="s">
        <v>195</v>
      </c>
      <c r="E17" s="146"/>
      <c r="F17" s="147" t="s">
        <v>192</v>
      </c>
      <c r="G17" s="10"/>
      <c r="H17" s="10"/>
      <c r="I17" s="155"/>
      <c r="J17" s="156" t="s">
        <v>204</v>
      </c>
      <c r="K17" s="10"/>
      <c r="L17" s="155"/>
      <c r="M17" s="10"/>
      <c r="N17" s="10"/>
      <c r="O17" s="10"/>
      <c r="P17" s="155"/>
      <c r="Q17" s="156" t="s">
        <v>204</v>
      </c>
      <c r="R17" s="10"/>
      <c r="S17" s="155"/>
      <c r="T17" s="10"/>
    </row>
    <row r="18" spans="1:20" ht="15.75" customHeight="1">
      <c r="A18" s="10"/>
      <c r="B18" s="157"/>
      <c r="C18" s="155"/>
      <c r="D18" s="10"/>
      <c r="E18" s="155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5.75" customHeight="1">
      <c r="A19" s="10"/>
      <c r="B19" s="140" t="s">
        <v>205</v>
      </c>
      <c r="C19" s="141"/>
      <c r="D19" s="142"/>
      <c r="E19" s="141"/>
      <c r="F19" s="142"/>
      <c r="G19" s="10"/>
      <c r="H19" s="10"/>
      <c r="I19" s="28" t="s">
        <v>206</v>
      </c>
      <c r="J19" s="10"/>
      <c r="K19" s="10"/>
      <c r="L19" s="10"/>
      <c r="M19" s="10"/>
      <c r="N19" s="10"/>
      <c r="O19" s="10"/>
      <c r="P19" s="28" t="s">
        <v>206</v>
      </c>
      <c r="Q19" s="10"/>
      <c r="R19" s="10"/>
      <c r="S19" s="10"/>
      <c r="T19" s="10"/>
    </row>
    <row r="20" spans="1:20" ht="15.75" customHeight="1">
      <c r="A20" s="152"/>
      <c r="B20" s="143" t="s">
        <v>190</v>
      </c>
      <c r="C20" s="144"/>
      <c r="D20" s="145" t="s">
        <v>191</v>
      </c>
      <c r="E20" s="146"/>
      <c r="F20" s="147" t="s">
        <v>192</v>
      </c>
      <c r="G20" s="10"/>
      <c r="H20" s="10"/>
      <c r="I20" s="148" t="s">
        <v>203</v>
      </c>
      <c r="J20" s="149"/>
      <c r="K20" s="10"/>
      <c r="L20" s="149"/>
      <c r="M20" s="10"/>
      <c r="N20" s="10"/>
      <c r="O20" s="10"/>
      <c r="P20" s="148" t="s">
        <v>203</v>
      </c>
      <c r="Q20" s="149"/>
      <c r="R20" s="10"/>
      <c r="S20" s="149"/>
      <c r="T20" s="10"/>
    </row>
    <row r="21" spans="1:20" ht="15.75" customHeight="1">
      <c r="A21" s="152"/>
      <c r="B21" s="150" t="s">
        <v>194</v>
      </c>
      <c r="C21" s="144"/>
      <c r="D21" s="151" t="s">
        <v>195</v>
      </c>
      <c r="E21" s="146"/>
      <c r="F21" s="147" t="s">
        <v>192</v>
      </c>
      <c r="G21" s="10"/>
      <c r="H21" s="152"/>
      <c r="I21" s="153"/>
      <c r="J21" s="144"/>
      <c r="K21" s="145" t="s">
        <v>191</v>
      </c>
      <c r="L21" s="146"/>
      <c r="M21" s="147" t="s">
        <v>192</v>
      </c>
      <c r="N21" s="154"/>
      <c r="O21" s="152"/>
      <c r="P21" s="153"/>
      <c r="Q21" s="144"/>
      <c r="R21" s="145" t="s">
        <v>191</v>
      </c>
      <c r="S21" s="146"/>
      <c r="T21" s="147" t="s">
        <v>192</v>
      </c>
    </row>
    <row r="22" spans="1:20" ht="15.75" customHeight="1">
      <c r="A22" s="152"/>
      <c r="B22" s="150" t="s">
        <v>196</v>
      </c>
      <c r="C22" s="144"/>
      <c r="D22" s="151" t="s">
        <v>195</v>
      </c>
      <c r="E22" s="146"/>
      <c r="F22" s="147" t="s">
        <v>192</v>
      </c>
      <c r="G22" s="10"/>
      <c r="H22" s="10"/>
      <c r="I22" s="155"/>
      <c r="J22" s="155"/>
      <c r="K22" s="10"/>
      <c r="L22" s="155"/>
      <c r="M22" s="10"/>
      <c r="N22" s="10"/>
      <c r="O22" s="10"/>
      <c r="P22" s="155"/>
      <c r="Q22" s="155"/>
      <c r="R22" s="10"/>
      <c r="S22" s="155"/>
      <c r="T22" s="10"/>
    </row>
    <row r="23" spans="1:20" ht="15.75" customHeight="1">
      <c r="A23" s="10"/>
      <c r="B23" s="157"/>
      <c r="C23" s="155"/>
      <c r="D23" s="10"/>
      <c r="E23" s="155"/>
      <c r="F23" s="10"/>
      <c r="G23" s="10"/>
      <c r="H23" s="10"/>
      <c r="I23" s="10"/>
      <c r="J23" s="28" t="s">
        <v>207</v>
      </c>
      <c r="K23" s="10"/>
      <c r="L23" s="10"/>
      <c r="M23" s="10"/>
      <c r="N23" s="10"/>
      <c r="O23" s="10"/>
      <c r="P23" s="10"/>
      <c r="Q23" s="28" t="s">
        <v>207</v>
      </c>
      <c r="R23" s="10"/>
      <c r="S23" s="10"/>
      <c r="T23" s="10"/>
    </row>
    <row r="24" spans="1:20" ht="15.75" customHeight="1">
      <c r="A24" s="10"/>
      <c r="B24" s="140" t="s">
        <v>208</v>
      </c>
      <c r="C24" s="141"/>
      <c r="D24" s="142"/>
      <c r="E24" s="141"/>
      <c r="F24" s="142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5.75" customHeight="1">
      <c r="A25" s="152"/>
      <c r="B25" s="143" t="s">
        <v>190</v>
      </c>
      <c r="C25" s="144"/>
      <c r="D25" s="145" t="s">
        <v>191</v>
      </c>
      <c r="E25" s="146"/>
      <c r="F25" s="147" t="s">
        <v>192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5.75" customHeight="1">
      <c r="A26" s="152"/>
      <c r="B26" s="150" t="s">
        <v>194</v>
      </c>
      <c r="C26" s="144"/>
      <c r="D26" s="151" t="s">
        <v>195</v>
      </c>
      <c r="E26" s="146"/>
      <c r="F26" s="147" t="s">
        <v>192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5.75" customHeight="1">
      <c r="A27" s="152"/>
      <c r="B27" s="150" t="s">
        <v>196</v>
      </c>
      <c r="C27" s="144"/>
      <c r="D27" s="151" t="s">
        <v>195</v>
      </c>
      <c r="E27" s="146"/>
      <c r="F27" s="147" t="s">
        <v>192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15.75" customHeight="1">
      <c r="A28" s="10"/>
      <c r="B28" s="157"/>
      <c r="C28" s="155"/>
      <c r="D28" s="10"/>
      <c r="E28" s="155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5.75" customHeight="1">
      <c r="A29" s="10"/>
      <c r="B29" s="158" t="s">
        <v>209</v>
      </c>
      <c r="C29" s="159"/>
      <c r="D29" s="159"/>
      <c r="E29" s="159"/>
      <c r="F29" s="159"/>
      <c r="G29" s="10"/>
      <c r="H29" s="10"/>
      <c r="I29" s="10"/>
      <c r="J29" s="160"/>
      <c r="K29" s="10"/>
      <c r="L29" s="10"/>
      <c r="M29" s="10"/>
      <c r="N29" s="10"/>
      <c r="O29" s="10"/>
      <c r="P29" s="28" t="s">
        <v>214</v>
      </c>
      <c r="Q29" s="10"/>
      <c r="R29" s="10"/>
      <c r="S29" s="10"/>
      <c r="T29" s="10"/>
    </row>
    <row r="30" spans="1:20" ht="15.75" customHeight="1">
      <c r="A30" s="10"/>
      <c r="B30" s="161"/>
      <c r="C30" s="161"/>
      <c r="D30" s="162"/>
      <c r="E30" s="161"/>
      <c r="F30" s="154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5.75" customHeight="1">
      <c r="A31" s="152"/>
      <c r="B31" s="143" t="s">
        <v>190</v>
      </c>
      <c r="C31" s="144"/>
      <c r="D31" s="145" t="s">
        <v>191</v>
      </c>
      <c r="E31" s="146"/>
      <c r="F31" s="147" t="s">
        <v>192</v>
      </c>
      <c r="G31" s="163"/>
      <c r="H31" s="10"/>
      <c r="I31" s="10"/>
      <c r="J31" s="10"/>
      <c r="K31" s="10"/>
      <c r="L31" s="10"/>
      <c r="M31" s="10"/>
      <c r="N31" s="10"/>
      <c r="O31" s="10"/>
      <c r="P31" s="28" t="s">
        <v>215</v>
      </c>
      <c r="Q31" s="10"/>
      <c r="R31" s="10"/>
      <c r="S31" s="10"/>
      <c r="T31" s="10"/>
    </row>
    <row r="32" spans="1:20" ht="15.75" customHeight="1">
      <c r="A32" s="10"/>
      <c r="B32" s="164"/>
      <c r="C32" s="164"/>
      <c r="D32" s="162"/>
      <c r="E32" s="164"/>
      <c r="F32" s="154"/>
      <c r="G32" s="163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5.75" customHeight="1">
      <c r="A33" s="152"/>
      <c r="B33" s="143" t="s">
        <v>194</v>
      </c>
      <c r="C33" s="144"/>
      <c r="D33" s="145" t="s">
        <v>191</v>
      </c>
      <c r="E33" s="146"/>
      <c r="F33" s="147" t="s">
        <v>192</v>
      </c>
      <c r="G33" s="163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15.75" customHeight="1">
      <c r="A34" s="10"/>
      <c r="B34" s="164"/>
      <c r="C34" s="164"/>
      <c r="D34" s="162"/>
      <c r="E34" s="164"/>
      <c r="F34" s="154"/>
      <c r="G34" s="163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15.75" customHeight="1">
      <c r="A35" s="152"/>
      <c r="B35" s="143" t="s">
        <v>196</v>
      </c>
      <c r="C35" s="144"/>
      <c r="D35" s="145" t="s">
        <v>191</v>
      </c>
      <c r="E35" s="146"/>
      <c r="F35" s="147" t="s">
        <v>192</v>
      </c>
      <c r="G35" s="163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15.75" customHeight="1">
      <c r="A36" s="10"/>
      <c r="B36" s="165"/>
      <c r="C36" s="165"/>
      <c r="D36" s="10"/>
      <c r="E36" s="165"/>
      <c r="F36" s="10"/>
      <c r="G36" s="163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5.75" customHeight="1">
      <c r="A37" s="152"/>
      <c r="B37" s="150" t="s">
        <v>210</v>
      </c>
      <c r="C37" s="144"/>
      <c r="D37" s="151" t="s">
        <v>195</v>
      </c>
      <c r="E37" s="146"/>
      <c r="F37" s="147" t="s">
        <v>192</v>
      </c>
      <c r="G37" s="163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15.75" customHeight="1">
      <c r="A38" s="152"/>
      <c r="B38" s="150" t="s">
        <v>211</v>
      </c>
      <c r="C38" s="144"/>
      <c r="D38" s="151" t="s">
        <v>195</v>
      </c>
      <c r="E38" s="146"/>
      <c r="F38" s="147" t="s">
        <v>192</v>
      </c>
      <c r="G38" s="163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15.75" customHeight="1">
      <c r="A39" s="152"/>
      <c r="B39" s="150" t="s">
        <v>212</v>
      </c>
      <c r="C39" s="144"/>
      <c r="D39" s="151" t="s">
        <v>195</v>
      </c>
      <c r="E39" s="146"/>
      <c r="F39" s="147" t="s">
        <v>192</v>
      </c>
      <c r="G39" s="163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5.75" customHeight="1">
      <c r="A40" s="10"/>
      <c r="B40" s="155"/>
      <c r="C40" s="155"/>
      <c r="D40" s="10"/>
      <c r="E40" s="155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ht="15.75" customHeight="1">
      <c r="A41" s="10"/>
      <c r="B41" s="166" t="s">
        <v>213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15.75" customHeight="1">
      <c r="A42" s="10"/>
      <c r="B42" s="161"/>
      <c r="C42" s="161"/>
      <c r="D42" s="162"/>
      <c r="E42" s="161"/>
      <c r="F42" s="15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15.75" customHeight="1">
      <c r="A43" s="152"/>
      <c r="B43" s="153"/>
      <c r="C43" s="144"/>
      <c r="D43" s="145" t="s">
        <v>191</v>
      </c>
      <c r="E43" s="146"/>
      <c r="F43" s="147" t="s">
        <v>192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15.75" customHeight="1">
      <c r="A44" s="10"/>
      <c r="B44" s="155"/>
      <c r="C44" s="155"/>
      <c r="D44" s="10"/>
      <c r="E44" s="155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15.75" customHeight="1">
      <c r="A46" s="10"/>
      <c r="B46" s="24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ht="15.75" customHeight="1">
      <c r="A48" s="10"/>
      <c r="B48" s="24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</sheetData>
  <sheetProtection/>
  <printOptions/>
  <pageMargins left="0.75" right="0.75" top="1" bottom="1" header="0.5" footer="0.5"/>
  <pageSetup horizontalDpi="600" verticalDpi="600" orientation="portrait" scale="84"/>
  <headerFooter alignWithMargins="0">
    <oddFooter>&amp;C000000&amp;P</oddFooter>
  </headerFooter>
  <rowBreaks count="1" manualBreakCount="1">
    <brk id="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10"/>
  <sheetViews>
    <sheetView showGridLines="0" workbookViewId="0" topLeftCell="A1">
      <selection activeCell="M41" sqref="M41"/>
    </sheetView>
  </sheetViews>
  <sheetFormatPr defaultColWidth="10.8515625" defaultRowHeight="12" customHeight="1"/>
  <cols>
    <col min="1" max="16384" width="10.8515625" style="5" customWidth="1"/>
  </cols>
  <sheetData>
    <row r="1" spans="1:5" ht="13.5" customHeight="1">
      <c r="A1" s="167"/>
      <c r="B1" s="167"/>
      <c r="C1" s="167"/>
      <c r="D1" s="167"/>
      <c r="E1" s="167"/>
    </row>
    <row r="2" spans="1:5" ht="13.5" customHeight="1">
      <c r="A2" s="167"/>
      <c r="B2" s="167"/>
      <c r="C2" s="167"/>
      <c r="D2" s="167"/>
      <c r="E2" s="167"/>
    </row>
    <row r="3" spans="1:5" ht="13.5" customHeight="1">
      <c r="A3" s="167"/>
      <c r="B3" s="167"/>
      <c r="C3" s="167"/>
      <c r="D3" s="167"/>
      <c r="E3" s="167"/>
    </row>
    <row r="4" spans="1:5" ht="13.5" customHeight="1">
      <c r="A4" s="167"/>
      <c r="B4" s="167"/>
      <c r="C4" s="167"/>
      <c r="D4" s="167"/>
      <c r="E4" s="167"/>
    </row>
    <row r="5" spans="1:5" ht="13.5" customHeight="1">
      <c r="A5" s="167"/>
      <c r="B5" s="167"/>
      <c r="C5" s="167"/>
      <c r="D5" s="167"/>
      <c r="E5" s="167"/>
    </row>
    <row r="6" spans="1:5" ht="13.5" customHeight="1">
      <c r="A6" s="167"/>
      <c r="B6" s="167"/>
      <c r="C6" s="167"/>
      <c r="D6" s="167"/>
      <c r="E6" s="167"/>
    </row>
    <row r="7" spans="1:5" ht="13.5" customHeight="1">
      <c r="A7" s="167"/>
      <c r="B7" s="167"/>
      <c r="C7" s="167"/>
      <c r="D7" s="167"/>
      <c r="E7" s="167"/>
    </row>
    <row r="8" spans="1:5" ht="13.5" customHeight="1">
      <c r="A8" s="167"/>
      <c r="B8" s="167"/>
      <c r="C8" s="167"/>
      <c r="D8" s="167"/>
      <c r="E8" s="167"/>
    </row>
    <row r="9" spans="1:5" ht="13.5" customHeight="1">
      <c r="A9" s="167"/>
      <c r="B9" s="167"/>
      <c r="C9" s="167"/>
      <c r="D9" s="167"/>
      <c r="E9" s="167"/>
    </row>
    <row r="10" spans="1:5" ht="13.5" customHeight="1">
      <c r="A10" s="167"/>
      <c r="B10" s="167"/>
      <c r="C10" s="167"/>
      <c r="D10" s="167"/>
      <c r="E10" s="167"/>
    </row>
  </sheetData>
  <sheetProtection/>
  <printOptions/>
  <pageMargins left="0.75" right="0.75" top="1" bottom="1" header="0.5" footer="0.5"/>
  <pageSetup horizontalDpi="600" verticalDpi="600" orientation="portrait"/>
  <headerFooter alignWithMargins="0">
    <oddFooter>&amp;C000000&amp;P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S98"/>
  <sheetViews>
    <sheetView showGridLines="0" workbookViewId="0" topLeftCell="C1">
      <selection activeCell="P31" sqref="P31:Q31"/>
    </sheetView>
  </sheetViews>
  <sheetFormatPr defaultColWidth="8.8515625" defaultRowHeight="15.75" customHeight="1"/>
  <cols>
    <col min="1" max="5" width="5.00390625" style="5" customWidth="1"/>
    <col min="6" max="7" width="6.140625" style="5" customWidth="1"/>
    <col min="8" max="8" width="6.7109375" style="5" customWidth="1"/>
    <col min="9" max="15" width="5.00390625" style="5" customWidth="1"/>
    <col min="16" max="16" width="4.140625" style="5" customWidth="1"/>
    <col min="17" max="19" width="5.00390625" style="5" customWidth="1"/>
    <col min="20" max="16384" width="8.8515625" style="5" customWidth="1"/>
  </cols>
  <sheetData>
    <row r="1" spans="1:19" ht="13.5" customHeight="1">
      <c r="A1" s="168"/>
      <c r="B1" s="169"/>
      <c r="C1" s="169"/>
      <c r="D1" s="169"/>
      <c r="E1" s="169"/>
      <c r="F1" s="169"/>
      <c r="G1" s="169"/>
      <c r="H1" s="170"/>
      <c r="I1" s="171"/>
      <c r="J1" s="172"/>
      <c r="K1" s="172"/>
      <c r="L1" s="172"/>
      <c r="M1" s="172"/>
      <c r="N1" s="172"/>
      <c r="O1" s="172"/>
      <c r="P1" s="172"/>
      <c r="Q1" s="172"/>
      <c r="R1" s="172"/>
      <c r="S1" s="173"/>
    </row>
    <row r="2" spans="1:19" ht="15.75" customHeight="1">
      <c r="A2" s="762" t="s">
        <v>218</v>
      </c>
      <c r="B2" s="763"/>
      <c r="C2" s="763"/>
      <c r="D2" s="763"/>
      <c r="E2" s="763"/>
      <c r="F2" s="763"/>
      <c r="G2" s="763"/>
      <c r="H2" s="764"/>
      <c r="I2" s="704" t="s">
        <v>219</v>
      </c>
      <c r="J2" s="705"/>
      <c r="K2" s="705"/>
      <c r="L2" s="705"/>
      <c r="M2" s="705"/>
      <c r="N2" s="705"/>
      <c r="O2" s="705"/>
      <c r="P2" s="705"/>
      <c r="Q2" s="705"/>
      <c r="R2" s="705"/>
      <c r="S2" s="706"/>
    </row>
    <row r="3" spans="1:19" ht="25.5" customHeight="1">
      <c r="A3" s="744" t="s">
        <v>220</v>
      </c>
      <c r="B3" s="745"/>
      <c r="C3" s="750"/>
      <c r="D3" s="750"/>
      <c r="E3" s="750"/>
      <c r="F3" s="750"/>
      <c r="G3" s="751"/>
      <c r="H3" s="744" t="s">
        <v>221</v>
      </c>
      <c r="I3" s="688"/>
      <c r="J3" s="745"/>
      <c r="K3" s="746"/>
      <c r="L3" s="747"/>
      <c r="M3" s="747"/>
      <c r="N3" s="747"/>
      <c r="O3" s="747"/>
      <c r="P3" s="747"/>
      <c r="Q3" s="747"/>
      <c r="R3" s="747"/>
      <c r="S3" s="747"/>
    </row>
    <row r="4" spans="1:19" ht="10.5" customHeight="1">
      <c r="A4" s="174"/>
      <c r="B4" s="175"/>
      <c r="C4" s="175"/>
      <c r="D4" s="175"/>
      <c r="E4" s="175"/>
      <c r="F4" s="175"/>
      <c r="G4" s="175"/>
      <c r="H4" s="752"/>
      <c r="I4" s="753"/>
      <c r="J4" s="685" t="s">
        <v>222</v>
      </c>
      <c r="K4" s="742"/>
      <c r="L4" s="742"/>
      <c r="M4" s="748" t="s">
        <v>223</v>
      </c>
      <c r="N4" s="769">
        <f>P31</f>
        <v>60</v>
      </c>
      <c r="O4" s="769"/>
      <c r="P4" s="769"/>
      <c r="Q4" s="769"/>
      <c r="R4" s="769"/>
      <c r="S4" s="770"/>
    </row>
    <row r="5" spans="1:19" ht="21" customHeight="1">
      <c r="A5" s="176"/>
      <c r="B5" s="177"/>
      <c r="C5" s="177"/>
      <c r="D5" s="177"/>
      <c r="E5" s="177"/>
      <c r="F5" s="177"/>
      <c r="G5" s="177"/>
      <c r="H5" s="754"/>
      <c r="I5" s="753"/>
      <c r="J5" s="743"/>
      <c r="K5" s="742"/>
      <c r="L5" s="742"/>
      <c r="M5" s="742"/>
      <c r="N5" s="769"/>
      <c r="O5" s="769"/>
      <c r="P5" s="769"/>
      <c r="Q5" s="769"/>
      <c r="R5" s="769"/>
      <c r="S5" s="770"/>
    </row>
    <row r="6" spans="1:19" ht="21.75" customHeight="1">
      <c r="A6" s="178" t="s">
        <v>224</v>
      </c>
      <c r="B6" s="755" t="s">
        <v>225</v>
      </c>
      <c r="C6" s="756"/>
      <c r="D6" s="756"/>
      <c r="E6" s="756"/>
      <c r="F6" s="756"/>
      <c r="G6" s="749" t="s">
        <v>226</v>
      </c>
      <c r="H6" s="749"/>
      <c r="I6" s="707" t="s">
        <v>227</v>
      </c>
      <c r="J6" s="699"/>
      <c r="K6" s="699"/>
      <c r="L6" s="700"/>
      <c r="M6" s="179"/>
      <c r="N6" s="707" t="s">
        <v>224</v>
      </c>
      <c r="O6" s="708"/>
      <c r="P6" s="699"/>
      <c r="Q6" s="699"/>
      <c r="R6" s="699"/>
      <c r="S6" s="700"/>
    </row>
    <row r="7" spans="1:19" ht="21.75" customHeight="1">
      <c r="A7" s="180"/>
      <c r="B7" s="181"/>
      <c r="C7" s="182"/>
      <c r="D7" s="182"/>
      <c r="E7" s="182"/>
      <c r="F7" s="182"/>
      <c r="G7" s="183"/>
      <c r="H7" s="183"/>
      <c r="I7" s="184"/>
      <c r="J7" s="185"/>
      <c r="K7" s="185"/>
      <c r="L7" s="186"/>
      <c r="M7" s="187"/>
      <c r="N7" s="707" t="s">
        <v>143</v>
      </c>
      <c r="O7" s="708"/>
      <c r="P7" s="708"/>
      <c r="Q7" s="708" t="s">
        <v>228</v>
      </c>
      <c r="R7" s="699"/>
      <c r="S7" s="700"/>
    </row>
    <row r="8" spans="1:19" ht="21.75" customHeight="1">
      <c r="A8" s="188">
        <v>60</v>
      </c>
      <c r="B8" s="758" t="s">
        <v>229</v>
      </c>
      <c r="C8" s="759"/>
      <c r="D8" s="759"/>
      <c r="E8" s="759"/>
      <c r="F8" s="759"/>
      <c r="G8" s="189">
        <v>3</v>
      </c>
      <c r="H8" s="190" t="s">
        <v>230</v>
      </c>
      <c r="I8" s="693">
        <v>2.6</v>
      </c>
      <c r="J8" s="693"/>
      <c r="K8" s="693"/>
      <c r="L8" s="693"/>
      <c r="M8" s="191"/>
      <c r="N8" s="192"/>
      <c r="O8" s="193"/>
      <c r="P8" s="194"/>
      <c r="Q8" s="714">
        <f>IF(I8="","",IF(I8&lt;=3,60,IF(I8&lt;4,(60-(I8-3)*100),0)))</f>
        <v>60</v>
      </c>
      <c r="R8" s="715"/>
      <c r="S8" s="709"/>
    </row>
    <row r="9" spans="1:19" ht="21.75" customHeight="1">
      <c r="A9" s="188">
        <v>400</v>
      </c>
      <c r="B9" s="758" t="s">
        <v>231</v>
      </c>
      <c r="C9" s="759"/>
      <c r="D9" s="759"/>
      <c r="E9" s="759"/>
      <c r="F9" s="759"/>
      <c r="G9" s="190" t="s">
        <v>232</v>
      </c>
      <c r="H9" s="190" t="s">
        <v>233</v>
      </c>
      <c r="I9" s="688"/>
      <c r="J9" s="688"/>
      <c r="K9" s="688"/>
      <c r="L9" s="688"/>
      <c r="M9" s="191"/>
      <c r="N9" s="192"/>
      <c r="O9" s="193"/>
      <c r="P9" s="194"/>
      <c r="Q9" s="714">
        <f>IF(I9="","",IF(I9&gt;400,0,IF(I9&gt;=0,400-I9,"")))</f>
      </c>
      <c r="R9" s="715"/>
      <c r="S9" s="709"/>
    </row>
    <row r="10" spans="1:19" ht="21.75" customHeight="1">
      <c r="A10" s="188">
        <v>20</v>
      </c>
      <c r="B10" s="758" t="s">
        <v>234</v>
      </c>
      <c r="C10" s="759"/>
      <c r="D10" s="759"/>
      <c r="E10" s="759"/>
      <c r="F10" s="759"/>
      <c r="G10" s="190" t="s">
        <v>235</v>
      </c>
      <c r="H10" s="190" t="s">
        <v>233</v>
      </c>
      <c r="I10" s="688"/>
      <c r="J10" s="688"/>
      <c r="K10" s="688"/>
      <c r="L10" s="688"/>
      <c r="M10" s="191"/>
      <c r="N10" s="192"/>
      <c r="O10" s="193"/>
      <c r="P10" s="194"/>
      <c r="Q10" s="714">
        <f>IF(I10="","",IF(OR(I10&lt;=3,I10&gt;=16),0,VLOOKUP(I10,H37:I50,2,0)))</f>
      </c>
      <c r="R10" s="715"/>
      <c r="S10" s="709"/>
    </row>
    <row r="11" spans="1:19" ht="21.75" customHeight="1">
      <c r="A11" s="195">
        <v>60</v>
      </c>
      <c r="B11" s="758" t="s">
        <v>236</v>
      </c>
      <c r="C11" s="759"/>
      <c r="D11" s="759"/>
      <c r="E11" s="759"/>
      <c r="F11" s="759"/>
      <c r="G11" s="190" t="s">
        <v>237</v>
      </c>
      <c r="H11" s="190" t="s">
        <v>238</v>
      </c>
      <c r="I11" s="745"/>
      <c r="J11" s="750"/>
      <c r="K11" s="750"/>
      <c r="L11" s="751"/>
      <c r="M11" s="191"/>
      <c r="N11" s="196"/>
      <c r="O11" s="197"/>
      <c r="P11" s="194"/>
      <c r="Q11" s="714">
        <f>IF(I11="","",IF(OR(I11&lt;=39,I11&gt;=60),0,VLOOKUP(I11,E37:F59,2,0)))</f>
      </c>
      <c r="R11" s="715"/>
      <c r="S11" s="709"/>
    </row>
    <row r="12" spans="1:19" ht="21.75" customHeight="1">
      <c r="A12" s="757">
        <v>60</v>
      </c>
      <c r="B12" s="758" t="s">
        <v>239</v>
      </c>
      <c r="C12" s="759"/>
      <c r="D12" s="759"/>
      <c r="E12" s="761"/>
      <c r="F12" s="198" t="s">
        <v>240</v>
      </c>
      <c r="G12" s="760" t="s">
        <v>241</v>
      </c>
      <c r="H12" s="760" t="s">
        <v>242</v>
      </c>
      <c r="I12" s="701"/>
      <c r="J12" s="702"/>
      <c r="K12" s="702"/>
      <c r="L12" s="703"/>
      <c r="M12" s="191"/>
      <c r="N12" s="174"/>
      <c r="O12" s="175"/>
      <c r="P12" s="199"/>
      <c r="Q12" s="716">
        <f>IF(I12="","",IF(OR(I12&lt;=10,I12&gt;=50),0,VLOOKUP(I12,K37:L77,2,0)))</f>
      </c>
      <c r="R12" s="717"/>
      <c r="S12" s="718"/>
    </row>
    <row r="13" spans="1:19" ht="21.75" customHeight="1">
      <c r="A13" s="757"/>
      <c r="B13" s="759"/>
      <c r="C13" s="759"/>
      <c r="D13" s="759"/>
      <c r="E13" s="761"/>
      <c r="F13" s="200" t="s">
        <v>243</v>
      </c>
      <c r="G13" s="760"/>
      <c r="H13" s="760"/>
      <c r="I13" s="696"/>
      <c r="J13" s="697"/>
      <c r="K13" s="697"/>
      <c r="L13" s="698"/>
      <c r="M13" s="191"/>
      <c r="N13" s="176"/>
      <c r="O13" s="177"/>
      <c r="P13" s="201"/>
      <c r="Q13" s="711"/>
      <c r="R13" s="712"/>
      <c r="S13" s="713"/>
    </row>
    <row r="14" spans="1:19" ht="21.75" customHeight="1">
      <c r="A14" s="757">
        <v>60</v>
      </c>
      <c r="B14" s="758" t="s">
        <v>244</v>
      </c>
      <c r="C14" s="759"/>
      <c r="D14" s="759"/>
      <c r="E14" s="761"/>
      <c r="F14" s="198" t="s">
        <v>240</v>
      </c>
      <c r="G14" s="760" t="s">
        <v>245</v>
      </c>
      <c r="H14" s="760" t="s">
        <v>242</v>
      </c>
      <c r="I14" s="701"/>
      <c r="J14" s="702"/>
      <c r="K14" s="702"/>
      <c r="L14" s="703"/>
      <c r="M14" s="191"/>
      <c r="N14" s="174"/>
      <c r="O14" s="175"/>
      <c r="P14" s="199"/>
      <c r="Q14" s="716">
        <f>IF(I14="","",IF(OR(I14&lt;=8,I14&gt;=47),0,VLOOKUP(I14,N37:P76,2,0)))</f>
      </c>
      <c r="R14" s="717"/>
      <c r="S14" s="718"/>
    </row>
    <row r="15" spans="1:19" ht="21.75" customHeight="1">
      <c r="A15" s="757"/>
      <c r="B15" s="759"/>
      <c r="C15" s="759"/>
      <c r="D15" s="759"/>
      <c r="E15" s="761"/>
      <c r="F15" s="202" t="s">
        <v>243</v>
      </c>
      <c r="G15" s="760"/>
      <c r="H15" s="760"/>
      <c r="I15" s="696"/>
      <c r="J15" s="697"/>
      <c r="K15" s="697"/>
      <c r="L15" s="698"/>
      <c r="M15" s="191"/>
      <c r="N15" s="176"/>
      <c r="O15" s="177"/>
      <c r="P15" s="201"/>
      <c r="Q15" s="711"/>
      <c r="R15" s="712"/>
      <c r="S15" s="713"/>
    </row>
    <row r="16" spans="1:19" ht="21.75" customHeight="1">
      <c r="A16" s="188">
        <v>-100</v>
      </c>
      <c r="B16" s="758" t="s">
        <v>246</v>
      </c>
      <c r="C16" s="759"/>
      <c r="D16" s="759"/>
      <c r="E16" s="759"/>
      <c r="F16" s="759"/>
      <c r="G16" s="760" t="s">
        <v>247</v>
      </c>
      <c r="H16" s="760"/>
      <c r="I16" s="203" t="s">
        <v>248</v>
      </c>
      <c r="J16" s="588"/>
      <c r="K16" s="203" t="s">
        <v>249</v>
      </c>
      <c r="L16" s="588"/>
      <c r="M16" s="191"/>
      <c r="N16" s="710">
        <f>IF(OR(L16="n",J16=""),0,-100)</f>
        <v>0</v>
      </c>
      <c r="O16" s="715"/>
      <c r="P16" s="709"/>
      <c r="Q16" s="192"/>
      <c r="R16" s="193"/>
      <c r="S16" s="194"/>
    </row>
    <row r="17" spans="1:19" ht="21.75" customHeight="1">
      <c r="A17" s="188">
        <v>-10</v>
      </c>
      <c r="B17" s="758" t="s">
        <v>250</v>
      </c>
      <c r="C17" s="759"/>
      <c r="D17" s="759"/>
      <c r="E17" s="759"/>
      <c r="F17" s="759"/>
      <c r="G17" s="190" t="s">
        <v>251</v>
      </c>
      <c r="H17" s="190" t="s">
        <v>233</v>
      </c>
      <c r="I17" s="688"/>
      <c r="J17" s="688"/>
      <c r="K17" s="688"/>
      <c r="L17" s="688"/>
      <c r="M17" s="191"/>
      <c r="N17" s="710">
        <f>IF(I17="",0,(I17-6)/2*1)</f>
        <v>0</v>
      </c>
      <c r="O17" s="715"/>
      <c r="P17" s="709"/>
      <c r="Q17" s="192"/>
      <c r="R17" s="193"/>
      <c r="S17" s="194"/>
    </row>
    <row r="18" spans="1:19" ht="21.75" customHeight="1">
      <c r="A18" s="188">
        <v>-50</v>
      </c>
      <c r="B18" s="758" t="s">
        <v>252</v>
      </c>
      <c r="C18" s="759"/>
      <c r="D18" s="759"/>
      <c r="E18" s="759"/>
      <c r="F18" s="759"/>
      <c r="G18" s="760" t="s">
        <v>247</v>
      </c>
      <c r="H18" s="760"/>
      <c r="I18" s="203" t="s">
        <v>248</v>
      </c>
      <c r="J18" s="588"/>
      <c r="K18" s="203" t="s">
        <v>249</v>
      </c>
      <c r="L18" s="588"/>
      <c r="M18" s="191"/>
      <c r="N18" s="690">
        <f>IF(OR(L18="n",J18=""),0,-50)</f>
        <v>0</v>
      </c>
      <c r="O18" s="691"/>
      <c r="P18" s="692"/>
      <c r="Q18" s="204"/>
      <c r="R18" s="205"/>
      <c r="S18" s="206"/>
    </row>
    <row r="19" spans="1:19" ht="21.75" customHeight="1">
      <c r="A19" s="188">
        <v>-30</v>
      </c>
      <c r="B19" s="758" t="s">
        <v>253</v>
      </c>
      <c r="C19" s="759"/>
      <c r="D19" s="759"/>
      <c r="E19" s="759"/>
      <c r="F19" s="759"/>
      <c r="G19" s="760" t="s">
        <v>254</v>
      </c>
      <c r="H19" s="760"/>
      <c r="I19" s="203" t="s">
        <v>248</v>
      </c>
      <c r="J19" s="588"/>
      <c r="K19" s="203" t="s">
        <v>249</v>
      </c>
      <c r="L19" s="588"/>
      <c r="M19" s="207"/>
      <c r="N19" s="710">
        <f>IF(J19="",0,-30)</f>
        <v>0</v>
      </c>
      <c r="O19" s="715"/>
      <c r="P19" s="709"/>
      <c r="Q19" s="192"/>
      <c r="R19" s="193"/>
      <c r="S19" s="194"/>
    </row>
    <row r="20" spans="1:19" ht="21.75" customHeight="1">
      <c r="A20" s="195">
        <v>-30</v>
      </c>
      <c r="B20" s="767" t="s">
        <v>255</v>
      </c>
      <c r="C20" s="768"/>
      <c r="D20" s="768"/>
      <c r="E20" s="768"/>
      <c r="F20" s="768"/>
      <c r="G20" s="208">
        <v>0</v>
      </c>
      <c r="H20" s="209" t="s">
        <v>256</v>
      </c>
      <c r="I20" s="688"/>
      <c r="J20" s="688"/>
      <c r="K20" s="688"/>
      <c r="L20" s="688"/>
      <c r="M20" s="191"/>
      <c r="N20" s="710">
        <f>IF(I20="",0,(-30*I20))</f>
        <v>0</v>
      </c>
      <c r="O20" s="715"/>
      <c r="P20" s="709"/>
      <c r="Q20" s="192"/>
      <c r="R20" s="193"/>
      <c r="S20" s="194"/>
    </row>
    <row r="21" spans="1:19" ht="21.75" customHeight="1">
      <c r="A21" s="188">
        <v>-20</v>
      </c>
      <c r="B21" s="758" t="s">
        <v>257</v>
      </c>
      <c r="C21" s="759"/>
      <c r="D21" s="759"/>
      <c r="E21" s="759"/>
      <c r="F21" s="759"/>
      <c r="G21" s="760" t="s">
        <v>247</v>
      </c>
      <c r="H21" s="760"/>
      <c r="I21" s="203" t="s">
        <v>248</v>
      </c>
      <c r="J21" s="588"/>
      <c r="K21" s="203" t="s">
        <v>249</v>
      </c>
      <c r="L21" s="588"/>
      <c r="M21" s="191"/>
      <c r="N21" s="710">
        <f>IF(OR(L21="n",J21=""),0,-20)</f>
        <v>0</v>
      </c>
      <c r="O21" s="715"/>
      <c r="P21" s="709"/>
      <c r="Q21" s="192"/>
      <c r="R21" s="193"/>
      <c r="S21" s="194"/>
    </row>
    <row r="22" spans="1:19" ht="21.75" customHeight="1">
      <c r="A22" s="188">
        <v>-50</v>
      </c>
      <c r="B22" s="758" t="s">
        <v>258</v>
      </c>
      <c r="C22" s="759"/>
      <c r="D22" s="759"/>
      <c r="E22" s="759"/>
      <c r="F22" s="759"/>
      <c r="G22" s="760" t="s">
        <v>247</v>
      </c>
      <c r="H22" s="760"/>
      <c r="I22" s="203" t="s">
        <v>248</v>
      </c>
      <c r="J22" s="588"/>
      <c r="K22" s="203" t="s">
        <v>249</v>
      </c>
      <c r="L22" s="588"/>
      <c r="M22" s="191"/>
      <c r="N22" s="710">
        <f>IF(OR(L22="n",J22=""),0,-50)</f>
        <v>0</v>
      </c>
      <c r="O22" s="715"/>
      <c r="P22" s="709"/>
      <c r="Q22" s="192"/>
      <c r="R22" s="193"/>
      <c r="S22" s="194"/>
    </row>
    <row r="23" spans="1:19" ht="21.75" customHeight="1">
      <c r="A23" s="188">
        <v>-20</v>
      </c>
      <c r="B23" s="758" t="s">
        <v>259</v>
      </c>
      <c r="C23" s="759"/>
      <c r="D23" s="759"/>
      <c r="E23" s="759"/>
      <c r="F23" s="759"/>
      <c r="G23" s="760" t="s">
        <v>247</v>
      </c>
      <c r="H23" s="760"/>
      <c r="I23" s="203" t="s">
        <v>248</v>
      </c>
      <c r="J23" s="588"/>
      <c r="K23" s="203" t="s">
        <v>249</v>
      </c>
      <c r="L23" s="588"/>
      <c r="M23" s="207"/>
      <c r="N23" s="710">
        <f>IF(OR(L23="n",J23=""),0,-20)</f>
        <v>0</v>
      </c>
      <c r="O23" s="715"/>
      <c r="P23" s="709"/>
      <c r="Q23" s="192"/>
      <c r="R23" s="193"/>
      <c r="S23" s="194"/>
    </row>
    <row r="24" spans="1:19" ht="21.75" customHeight="1">
      <c r="A24" s="195">
        <v>-20</v>
      </c>
      <c r="B24" s="767" t="s">
        <v>260</v>
      </c>
      <c r="C24" s="768"/>
      <c r="D24" s="768"/>
      <c r="E24" s="768"/>
      <c r="F24" s="768"/>
      <c r="G24" s="210">
        <v>0</v>
      </c>
      <c r="H24" s="190" t="s">
        <v>256</v>
      </c>
      <c r="I24" s="688"/>
      <c r="J24" s="688"/>
      <c r="K24" s="688"/>
      <c r="L24" s="688"/>
      <c r="M24" s="191"/>
      <c r="N24" s="710">
        <f>IF(I24="",0,(-20*I24))</f>
        <v>0</v>
      </c>
      <c r="O24" s="715"/>
      <c r="P24" s="709"/>
      <c r="Q24" s="192"/>
      <c r="R24" s="193"/>
      <c r="S24" s="194"/>
    </row>
    <row r="25" spans="1:19" ht="21.75" customHeight="1">
      <c r="A25" s="188">
        <v>-50</v>
      </c>
      <c r="B25" s="758" t="s">
        <v>261</v>
      </c>
      <c r="C25" s="759"/>
      <c r="D25" s="759"/>
      <c r="E25" s="759"/>
      <c r="F25" s="759"/>
      <c r="G25" s="210">
        <v>0</v>
      </c>
      <c r="H25" s="190" t="s">
        <v>256</v>
      </c>
      <c r="I25" s="688"/>
      <c r="J25" s="688"/>
      <c r="K25" s="688"/>
      <c r="L25" s="688"/>
      <c r="M25" s="191"/>
      <c r="N25" s="710">
        <f>IF(I25="",0,(-50*I25))</f>
        <v>0</v>
      </c>
      <c r="O25" s="715"/>
      <c r="P25" s="709"/>
      <c r="Q25" s="192"/>
      <c r="R25" s="193"/>
      <c r="S25" s="194"/>
    </row>
    <row r="26" spans="1:19" ht="21.75" customHeight="1">
      <c r="A26" s="188">
        <v>-20</v>
      </c>
      <c r="B26" s="758" t="s">
        <v>262</v>
      </c>
      <c r="C26" s="759"/>
      <c r="D26" s="759"/>
      <c r="E26" s="759"/>
      <c r="F26" s="759"/>
      <c r="G26" s="210">
        <v>0</v>
      </c>
      <c r="H26" s="190" t="s">
        <v>256</v>
      </c>
      <c r="I26" s="688"/>
      <c r="J26" s="688"/>
      <c r="K26" s="688"/>
      <c r="L26" s="688"/>
      <c r="M26" s="191"/>
      <c r="N26" s="710">
        <f>IF(I26="",0,(-20*I26))</f>
        <v>0</v>
      </c>
      <c r="O26" s="715"/>
      <c r="P26" s="709"/>
      <c r="Q26" s="192"/>
      <c r="R26" s="193"/>
      <c r="S26" s="194"/>
    </row>
    <row r="27" spans="1:19" ht="21.75" customHeight="1">
      <c r="A27" s="188">
        <v>-20</v>
      </c>
      <c r="B27" s="758" t="s">
        <v>263</v>
      </c>
      <c r="C27" s="759"/>
      <c r="D27" s="759"/>
      <c r="E27" s="759"/>
      <c r="F27" s="759"/>
      <c r="G27" s="210">
        <v>0</v>
      </c>
      <c r="H27" s="190" t="s">
        <v>256</v>
      </c>
      <c r="I27" s="688"/>
      <c r="J27" s="688"/>
      <c r="K27" s="688"/>
      <c r="L27" s="688"/>
      <c r="M27" s="191"/>
      <c r="N27" s="710">
        <f>IF(I27="",0,(-20*I27))</f>
        <v>0</v>
      </c>
      <c r="O27" s="715"/>
      <c r="P27" s="709"/>
      <c r="Q27" s="192"/>
      <c r="R27" s="193"/>
      <c r="S27" s="194"/>
    </row>
    <row r="28" spans="1:19" ht="21.75" customHeight="1">
      <c r="A28" s="188">
        <v>-20</v>
      </c>
      <c r="B28" s="758" t="s">
        <v>264</v>
      </c>
      <c r="C28" s="759"/>
      <c r="D28" s="759"/>
      <c r="E28" s="759"/>
      <c r="F28" s="759"/>
      <c r="G28" s="210">
        <v>0</v>
      </c>
      <c r="H28" s="190" t="s">
        <v>256</v>
      </c>
      <c r="I28" s="688"/>
      <c r="J28" s="688"/>
      <c r="K28" s="688"/>
      <c r="L28" s="688"/>
      <c r="M28" s="191"/>
      <c r="N28" s="710">
        <f>IF(I28="",0,(-20*I28))</f>
        <v>0</v>
      </c>
      <c r="O28" s="715"/>
      <c r="P28" s="709"/>
      <c r="Q28" s="192"/>
      <c r="R28" s="193"/>
      <c r="S28" s="194"/>
    </row>
    <row r="29" spans="1:19" ht="21.75" customHeight="1">
      <c r="A29" s="188">
        <v>-50</v>
      </c>
      <c r="B29" s="758" t="s">
        <v>265</v>
      </c>
      <c r="C29" s="759"/>
      <c r="D29" s="759"/>
      <c r="E29" s="759"/>
      <c r="F29" s="759"/>
      <c r="G29" s="210">
        <v>0</v>
      </c>
      <c r="H29" s="190" t="s">
        <v>256</v>
      </c>
      <c r="I29" s="688"/>
      <c r="J29" s="688"/>
      <c r="K29" s="688"/>
      <c r="L29" s="688"/>
      <c r="M29" s="191"/>
      <c r="N29" s="710">
        <f>IF(I29="",0,(-50*I29))</f>
        <v>0</v>
      </c>
      <c r="O29" s="715"/>
      <c r="P29" s="709"/>
      <c r="Q29" s="192"/>
      <c r="R29" s="193"/>
      <c r="S29" s="194"/>
    </row>
    <row r="30" spans="1:19" ht="21.75" customHeight="1">
      <c r="A30" s="211"/>
      <c r="B30" s="203"/>
      <c r="C30" s="193"/>
      <c r="D30" s="193"/>
      <c r="E30" s="193"/>
      <c r="F30" s="193"/>
      <c r="G30" s="193"/>
      <c r="H30" s="212"/>
      <c r="I30" s="689" t="s">
        <v>266</v>
      </c>
      <c r="J30" s="686"/>
      <c r="K30" s="686"/>
      <c r="L30" s="687"/>
      <c r="M30" s="185"/>
      <c r="N30" s="694">
        <f>SUM(N6:N29)</f>
        <v>0</v>
      </c>
      <c r="O30" s="694"/>
      <c r="P30" s="695"/>
      <c r="Q30" s="213"/>
      <c r="R30" s="214">
        <f>SUM(Q8:S15)</f>
        <v>60</v>
      </c>
      <c r="S30" s="215"/>
    </row>
    <row r="31" spans="1:19" ht="21.75" customHeight="1">
      <c r="A31" s="179">
        <v>660</v>
      </c>
      <c r="B31" s="216"/>
      <c r="C31" s="217"/>
      <c r="D31" s="217"/>
      <c r="E31" s="217"/>
      <c r="F31" s="217"/>
      <c r="G31" s="217"/>
      <c r="H31" s="212"/>
      <c r="I31" s="707" t="s">
        <v>267</v>
      </c>
      <c r="J31" s="708"/>
      <c r="K31" s="708"/>
      <c r="L31" s="708"/>
      <c r="M31" s="185"/>
      <c r="N31" s="218"/>
      <c r="O31" s="218"/>
      <c r="P31" s="694">
        <f>R30+N30</f>
        <v>60</v>
      </c>
      <c r="Q31" s="694"/>
      <c r="R31" s="218"/>
      <c r="S31" s="215"/>
    </row>
    <row r="32" spans="1:19" ht="12" customHeight="1">
      <c r="A32" s="219" t="s">
        <v>268</v>
      </c>
      <c r="B32" s="220"/>
      <c r="C32" s="220"/>
      <c r="D32" s="220"/>
      <c r="E32" s="220"/>
      <c r="F32" s="220"/>
      <c r="G32" s="221"/>
      <c r="H32" s="222"/>
      <c r="I32" s="223" t="e">
        <f>IF(I8="","",Q8+Q9+Q10+Q11+Q12+Q14+N16+N17+N18+N19+N20+N21+N22+N23+N24+N25+N26+N27+N28+N29)</f>
        <v>#VALUE!</v>
      </c>
      <c r="J32" s="224"/>
      <c r="K32" s="224"/>
      <c r="L32" s="224"/>
      <c r="M32" s="224"/>
      <c r="N32" s="224"/>
      <c r="O32" s="224"/>
      <c r="P32" s="224"/>
      <c r="Q32" s="224"/>
      <c r="R32" s="224"/>
      <c r="S32" s="225"/>
    </row>
    <row r="33" spans="1:19" ht="12" customHeight="1">
      <c r="A33" s="226"/>
      <c r="B33" s="154"/>
      <c r="C33" s="154"/>
      <c r="D33" s="154"/>
      <c r="E33" s="154"/>
      <c r="F33" s="154"/>
      <c r="G33" s="154"/>
      <c r="H33" s="154"/>
      <c r="I33" s="14"/>
      <c r="J33" s="227"/>
      <c r="K33" s="10"/>
      <c r="L33" s="10"/>
      <c r="M33" s="10"/>
      <c r="N33" s="10"/>
      <c r="O33" s="10"/>
      <c r="P33" s="10"/>
      <c r="Q33" s="10"/>
      <c r="R33" s="10"/>
      <c r="S33" s="11"/>
    </row>
    <row r="34" spans="1:19" ht="13.5" customHeight="1" hidden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/>
    </row>
    <row r="35" spans="1:19" ht="22.5" customHeight="1" hidden="1">
      <c r="A35" s="9"/>
      <c r="B35" s="765" t="s">
        <v>231</v>
      </c>
      <c r="C35" s="766"/>
      <c r="D35" s="10"/>
      <c r="E35" s="228" t="s">
        <v>236</v>
      </c>
      <c r="F35" s="229"/>
      <c r="G35" s="10"/>
      <c r="H35" s="166" t="s">
        <v>234</v>
      </c>
      <c r="I35" s="230"/>
      <c r="J35" s="10"/>
      <c r="K35" s="228" t="s">
        <v>239</v>
      </c>
      <c r="L35" s="10"/>
      <c r="M35" s="10"/>
      <c r="N35" s="228" t="s">
        <v>244</v>
      </c>
      <c r="O35" s="228"/>
      <c r="P35" s="10"/>
      <c r="Q35" s="10"/>
      <c r="R35" s="10"/>
      <c r="S35" s="11"/>
    </row>
    <row r="36" spans="1:19" ht="12" customHeight="1" hidden="1">
      <c r="A36" s="9"/>
      <c r="B36" s="231" t="s">
        <v>233</v>
      </c>
      <c r="C36" s="231" t="s">
        <v>224</v>
      </c>
      <c r="D36" s="10"/>
      <c r="E36" s="231" t="s">
        <v>269</v>
      </c>
      <c r="F36" s="231" t="s">
        <v>224</v>
      </c>
      <c r="G36" s="10"/>
      <c r="H36" s="231" t="s">
        <v>233</v>
      </c>
      <c r="I36" s="231" t="s">
        <v>224</v>
      </c>
      <c r="J36" s="10"/>
      <c r="K36" s="231" t="s">
        <v>242</v>
      </c>
      <c r="L36" s="231" t="s">
        <v>224</v>
      </c>
      <c r="M36" s="10"/>
      <c r="N36" s="231" t="s">
        <v>242</v>
      </c>
      <c r="O36" s="10"/>
      <c r="P36" s="231" t="s">
        <v>224</v>
      </c>
      <c r="Q36" s="10"/>
      <c r="R36" s="10"/>
      <c r="S36" s="11"/>
    </row>
    <row r="37" spans="1:19" ht="12" customHeight="1" hidden="1">
      <c r="A37" s="9"/>
      <c r="B37" s="232">
        <v>0</v>
      </c>
      <c r="C37" s="232">
        <v>400</v>
      </c>
      <c r="D37" s="10"/>
      <c r="E37" s="233" t="s">
        <v>270</v>
      </c>
      <c r="F37" s="234">
        <v>0</v>
      </c>
      <c r="G37" s="10"/>
      <c r="H37" s="233" t="s">
        <v>155</v>
      </c>
      <c r="I37" s="234">
        <v>0</v>
      </c>
      <c r="J37" s="10"/>
      <c r="K37" s="233" t="s">
        <v>162</v>
      </c>
      <c r="L37" s="227">
        <v>0</v>
      </c>
      <c r="M37" s="10"/>
      <c r="N37" s="233" t="s">
        <v>160</v>
      </c>
      <c r="O37" s="10"/>
      <c r="P37" s="231" t="s">
        <v>232</v>
      </c>
      <c r="Q37" s="10"/>
      <c r="R37" s="10"/>
      <c r="S37" s="11"/>
    </row>
    <row r="38" spans="1:19" ht="12" customHeight="1" hidden="1">
      <c r="A38" s="9"/>
      <c r="B38" s="235">
        <v>1</v>
      </c>
      <c r="C38" s="235">
        <v>399</v>
      </c>
      <c r="D38" s="10"/>
      <c r="E38" s="234">
        <v>40</v>
      </c>
      <c r="F38" s="234">
        <v>10</v>
      </c>
      <c r="G38" s="10"/>
      <c r="H38" s="227">
        <v>4</v>
      </c>
      <c r="I38" s="234">
        <v>5</v>
      </c>
      <c r="J38" s="10"/>
      <c r="K38" s="234">
        <v>11</v>
      </c>
      <c r="L38" s="227">
        <f aca="true" t="shared" si="0" ref="L38:L51">L37+4</f>
        <v>4</v>
      </c>
      <c r="M38" s="10"/>
      <c r="N38" s="227">
        <v>9</v>
      </c>
      <c r="O38" s="10"/>
      <c r="P38" s="235">
        <f aca="true" t="shared" si="1" ref="P38:P48">P37+5</f>
        <v>5</v>
      </c>
      <c r="Q38" s="10"/>
      <c r="R38" s="10"/>
      <c r="S38" s="11"/>
    </row>
    <row r="39" spans="1:19" ht="12" customHeight="1" hidden="1">
      <c r="A39" s="9"/>
      <c r="B39" s="235">
        <v>2</v>
      </c>
      <c r="C39" s="235">
        <v>398</v>
      </c>
      <c r="D39" s="10"/>
      <c r="E39" s="234">
        <v>41</v>
      </c>
      <c r="F39" s="234">
        <v>20</v>
      </c>
      <c r="G39" s="10"/>
      <c r="H39" s="227">
        <v>5</v>
      </c>
      <c r="I39" s="234">
        <v>10</v>
      </c>
      <c r="J39" s="10"/>
      <c r="K39" s="234">
        <v>12</v>
      </c>
      <c r="L39" s="227">
        <f t="shared" si="0"/>
        <v>8</v>
      </c>
      <c r="M39" s="10"/>
      <c r="N39" s="227">
        <v>10</v>
      </c>
      <c r="O39" s="10"/>
      <c r="P39" s="235">
        <f t="shared" si="1"/>
        <v>10</v>
      </c>
      <c r="Q39" s="10"/>
      <c r="R39" s="10"/>
      <c r="S39" s="11"/>
    </row>
    <row r="40" spans="1:19" ht="12" customHeight="1" hidden="1">
      <c r="A40" s="9"/>
      <c r="B40" s="235">
        <v>3</v>
      </c>
      <c r="C40" s="235">
        <v>397</v>
      </c>
      <c r="D40" s="10"/>
      <c r="E40" s="234">
        <v>42</v>
      </c>
      <c r="F40" s="234">
        <v>30</v>
      </c>
      <c r="G40" s="10"/>
      <c r="H40" s="227">
        <v>6</v>
      </c>
      <c r="I40" s="234">
        <v>15</v>
      </c>
      <c r="J40" s="10"/>
      <c r="K40" s="234">
        <v>13</v>
      </c>
      <c r="L40" s="227">
        <f t="shared" si="0"/>
        <v>12</v>
      </c>
      <c r="M40" s="10"/>
      <c r="N40" s="227">
        <v>11</v>
      </c>
      <c r="O40" s="10"/>
      <c r="P40" s="235">
        <f t="shared" si="1"/>
        <v>15</v>
      </c>
      <c r="Q40" s="10"/>
      <c r="R40" s="10"/>
      <c r="S40" s="11"/>
    </row>
    <row r="41" spans="1:19" ht="12" customHeight="1" hidden="1">
      <c r="A41" s="9"/>
      <c r="B41" s="235">
        <v>4</v>
      </c>
      <c r="C41" s="235">
        <v>396</v>
      </c>
      <c r="D41" s="10"/>
      <c r="E41" s="234">
        <v>43</v>
      </c>
      <c r="F41" s="234">
        <v>40</v>
      </c>
      <c r="G41" s="10"/>
      <c r="H41" s="236">
        <v>7</v>
      </c>
      <c r="I41" s="237">
        <v>20</v>
      </c>
      <c r="J41" s="10"/>
      <c r="K41" s="234">
        <v>14</v>
      </c>
      <c r="L41" s="227">
        <f t="shared" si="0"/>
        <v>16</v>
      </c>
      <c r="M41" s="10"/>
      <c r="N41" s="227">
        <v>12</v>
      </c>
      <c r="O41" s="10"/>
      <c r="P41" s="235">
        <f t="shared" si="1"/>
        <v>20</v>
      </c>
      <c r="Q41" s="10"/>
      <c r="R41" s="10"/>
      <c r="S41" s="11"/>
    </row>
    <row r="42" spans="1:19" ht="12" customHeight="1" hidden="1">
      <c r="A42" s="9"/>
      <c r="B42" s="235">
        <v>5</v>
      </c>
      <c r="C42" s="235">
        <v>395</v>
      </c>
      <c r="D42" s="10"/>
      <c r="E42" s="234">
        <v>44</v>
      </c>
      <c r="F42" s="234">
        <v>50</v>
      </c>
      <c r="G42" s="10"/>
      <c r="H42" s="236">
        <v>8</v>
      </c>
      <c r="I42" s="236">
        <v>20</v>
      </c>
      <c r="J42" s="10"/>
      <c r="K42" s="234">
        <v>15</v>
      </c>
      <c r="L42" s="227">
        <f t="shared" si="0"/>
        <v>20</v>
      </c>
      <c r="M42" s="10"/>
      <c r="N42" s="227">
        <v>13</v>
      </c>
      <c r="O42" s="10"/>
      <c r="P42" s="235">
        <f t="shared" si="1"/>
        <v>25</v>
      </c>
      <c r="Q42" s="10"/>
      <c r="R42" s="10"/>
      <c r="S42" s="11"/>
    </row>
    <row r="43" spans="1:19" ht="12" customHeight="1" hidden="1">
      <c r="A43" s="9"/>
      <c r="B43" s="235">
        <v>6</v>
      </c>
      <c r="C43" s="235">
        <v>394</v>
      </c>
      <c r="D43" s="10"/>
      <c r="E43" s="237">
        <v>45</v>
      </c>
      <c r="F43" s="238" t="s">
        <v>271</v>
      </c>
      <c r="G43" s="10"/>
      <c r="H43" s="236">
        <v>9</v>
      </c>
      <c r="I43" s="236">
        <v>20</v>
      </c>
      <c r="J43" s="10"/>
      <c r="K43" s="234">
        <v>16</v>
      </c>
      <c r="L43" s="227">
        <f t="shared" si="0"/>
        <v>24</v>
      </c>
      <c r="M43" s="10"/>
      <c r="N43" s="227">
        <v>14</v>
      </c>
      <c r="O43" s="10"/>
      <c r="P43" s="235">
        <f t="shared" si="1"/>
        <v>30</v>
      </c>
      <c r="Q43" s="10"/>
      <c r="R43" s="10"/>
      <c r="S43" s="11"/>
    </row>
    <row r="44" spans="1:19" ht="12" customHeight="1" hidden="1">
      <c r="A44" s="9"/>
      <c r="B44" s="235">
        <v>7</v>
      </c>
      <c r="C44" s="235">
        <v>393</v>
      </c>
      <c r="D44" s="10"/>
      <c r="E44" s="237">
        <v>46</v>
      </c>
      <c r="F44" s="238" t="s">
        <v>271</v>
      </c>
      <c r="G44" s="10"/>
      <c r="H44" s="236">
        <v>10</v>
      </c>
      <c r="I44" s="236">
        <v>20</v>
      </c>
      <c r="J44" s="10"/>
      <c r="K44" s="234">
        <v>17</v>
      </c>
      <c r="L44" s="227">
        <f t="shared" si="0"/>
        <v>28</v>
      </c>
      <c r="M44" s="10"/>
      <c r="N44" s="227">
        <v>15</v>
      </c>
      <c r="O44" s="10"/>
      <c r="P44" s="235">
        <f t="shared" si="1"/>
        <v>35</v>
      </c>
      <c r="Q44" s="10"/>
      <c r="R44" s="10"/>
      <c r="S44" s="11"/>
    </row>
    <row r="45" spans="1:19" ht="12" customHeight="1" hidden="1">
      <c r="A45" s="9"/>
      <c r="B45" s="235">
        <v>8</v>
      </c>
      <c r="C45" s="235">
        <v>392</v>
      </c>
      <c r="D45" s="10"/>
      <c r="E45" s="237">
        <v>47</v>
      </c>
      <c r="F45" s="238" t="s">
        <v>271</v>
      </c>
      <c r="G45" s="10"/>
      <c r="H45" s="236">
        <v>11</v>
      </c>
      <c r="I45" s="236">
        <v>20</v>
      </c>
      <c r="J45" s="10"/>
      <c r="K45" s="234">
        <v>18</v>
      </c>
      <c r="L45" s="227">
        <f t="shared" si="0"/>
        <v>32</v>
      </c>
      <c r="M45" s="10"/>
      <c r="N45" s="227">
        <v>16</v>
      </c>
      <c r="O45" s="10"/>
      <c r="P45" s="235">
        <f t="shared" si="1"/>
        <v>40</v>
      </c>
      <c r="Q45" s="10"/>
      <c r="R45" s="10"/>
      <c r="S45" s="11"/>
    </row>
    <row r="46" spans="1:19" ht="12" customHeight="1" hidden="1">
      <c r="A46" s="9"/>
      <c r="B46" s="235">
        <v>9</v>
      </c>
      <c r="C46" s="235">
        <v>391</v>
      </c>
      <c r="D46" s="10"/>
      <c r="E46" s="237">
        <v>48</v>
      </c>
      <c r="F46" s="238" t="s">
        <v>271</v>
      </c>
      <c r="G46" s="10"/>
      <c r="H46" s="236">
        <v>12</v>
      </c>
      <c r="I46" s="236">
        <v>20</v>
      </c>
      <c r="J46" s="10"/>
      <c r="K46" s="234">
        <v>19</v>
      </c>
      <c r="L46" s="227">
        <f t="shared" si="0"/>
        <v>36</v>
      </c>
      <c r="M46" s="10"/>
      <c r="N46" s="227">
        <v>17</v>
      </c>
      <c r="O46" s="10"/>
      <c r="P46" s="235">
        <f t="shared" si="1"/>
        <v>45</v>
      </c>
      <c r="Q46" s="10"/>
      <c r="R46" s="10"/>
      <c r="S46" s="11"/>
    </row>
    <row r="47" spans="1:19" ht="12" customHeight="1" hidden="1">
      <c r="A47" s="9"/>
      <c r="B47" s="235">
        <v>10</v>
      </c>
      <c r="C47" s="235">
        <v>390</v>
      </c>
      <c r="D47" s="10"/>
      <c r="E47" s="237">
        <v>49</v>
      </c>
      <c r="F47" s="238" t="s">
        <v>271</v>
      </c>
      <c r="G47" s="10"/>
      <c r="H47" s="227">
        <v>13</v>
      </c>
      <c r="I47" s="227">
        <v>15</v>
      </c>
      <c r="J47" s="10"/>
      <c r="K47" s="234">
        <v>20</v>
      </c>
      <c r="L47" s="227">
        <f t="shared" si="0"/>
        <v>40</v>
      </c>
      <c r="M47" s="10"/>
      <c r="N47" s="227">
        <v>18</v>
      </c>
      <c r="O47" s="10"/>
      <c r="P47" s="235">
        <f t="shared" si="1"/>
        <v>50</v>
      </c>
      <c r="Q47" s="10"/>
      <c r="R47" s="10"/>
      <c r="S47" s="11"/>
    </row>
    <row r="48" spans="1:19" ht="12" customHeight="1" hidden="1">
      <c r="A48" s="9"/>
      <c r="B48" s="235">
        <v>11</v>
      </c>
      <c r="C48" s="235">
        <v>389</v>
      </c>
      <c r="D48" s="10"/>
      <c r="E48" s="237">
        <v>50</v>
      </c>
      <c r="F48" s="238" t="s">
        <v>271</v>
      </c>
      <c r="G48" s="10"/>
      <c r="H48" s="227">
        <v>14</v>
      </c>
      <c r="I48" s="227">
        <v>10</v>
      </c>
      <c r="J48" s="10"/>
      <c r="K48" s="234">
        <v>21</v>
      </c>
      <c r="L48" s="227">
        <f t="shared" si="0"/>
        <v>44</v>
      </c>
      <c r="M48" s="10"/>
      <c r="N48" s="227">
        <v>19</v>
      </c>
      <c r="O48" s="10"/>
      <c r="P48" s="235">
        <f t="shared" si="1"/>
        <v>55</v>
      </c>
      <c r="Q48" s="10"/>
      <c r="R48" s="10"/>
      <c r="S48" s="11"/>
    </row>
    <row r="49" spans="1:19" ht="12" customHeight="1" hidden="1">
      <c r="A49" s="9"/>
      <c r="B49" s="235">
        <v>12</v>
      </c>
      <c r="C49" s="235">
        <v>388</v>
      </c>
      <c r="D49" s="10"/>
      <c r="E49" s="237">
        <v>51</v>
      </c>
      <c r="F49" s="238" t="s">
        <v>271</v>
      </c>
      <c r="G49" s="10"/>
      <c r="H49" s="227">
        <v>15</v>
      </c>
      <c r="I49" s="227">
        <v>5</v>
      </c>
      <c r="J49" s="10"/>
      <c r="K49" s="234">
        <v>22</v>
      </c>
      <c r="L49" s="227">
        <f t="shared" si="0"/>
        <v>48</v>
      </c>
      <c r="M49" s="10"/>
      <c r="N49" s="236">
        <v>20</v>
      </c>
      <c r="O49" s="10"/>
      <c r="P49" s="236">
        <v>60</v>
      </c>
      <c r="Q49" s="10"/>
      <c r="R49" s="10"/>
      <c r="S49" s="11"/>
    </row>
    <row r="50" spans="1:19" ht="12" customHeight="1" hidden="1">
      <c r="A50" s="9"/>
      <c r="B50" s="235">
        <v>13</v>
      </c>
      <c r="C50" s="235">
        <v>387</v>
      </c>
      <c r="D50" s="10"/>
      <c r="E50" s="237">
        <v>52</v>
      </c>
      <c r="F50" s="238" t="s">
        <v>271</v>
      </c>
      <c r="G50" s="10"/>
      <c r="H50" s="231" t="s">
        <v>168</v>
      </c>
      <c r="I50" s="227">
        <v>0</v>
      </c>
      <c r="J50" s="10"/>
      <c r="K50" s="234">
        <v>23</v>
      </c>
      <c r="L50" s="227">
        <f t="shared" si="0"/>
        <v>52</v>
      </c>
      <c r="M50" s="10"/>
      <c r="N50" s="236">
        <v>21</v>
      </c>
      <c r="O50" s="10"/>
      <c r="P50" s="236">
        <v>60</v>
      </c>
      <c r="Q50" s="10"/>
      <c r="R50" s="10"/>
      <c r="S50" s="11"/>
    </row>
    <row r="51" spans="1:19" ht="12" customHeight="1" hidden="1">
      <c r="A51" s="9"/>
      <c r="B51" s="235">
        <v>14</v>
      </c>
      <c r="C51" s="235">
        <v>386</v>
      </c>
      <c r="D51" s="10"/>
      <c r="E51" s="237">
        <v>53</v>
      </c>
      <c r="F51" s="238" t="s">
        <v>271</v>
      </c>
      <c r="G51" s="10"/>
      <c r="H51" s="10"/>
      <c r="I51" s="10"/>
      <c r="J51" s="10"/>
      <c r="K51" s="234">
        <v>24</v>
      </c>
      <c r="L51" s="227">
        <f t="shared" si="0"/>
        <v>56</v>
      </c>
      <c r="M51" s="10"/>
      <c r="N51" s="236">
        <v>22</v>
      </c>
      <c r="O51" s="10"/>
      <c r="P51" s="236">
        <v>60</v>
      </c>
      <c r="Q51" s="10"/>
      <c r="R51" s="10"/>
      <c r="S51" s="11"/>
    </row>
    <row r="52" spans="1:19" ht="12" customHeight="1" hidden="1">
      <c r="A52" s="9"/>
      <c r="B52" s="235">
        <v>15</v>
      </c>
      <c r="C52" s="235">
        <v>385</v>
      </c>
      <c r="D52" s="10"/>
      <c r="E52" s="237">
        <v>54</v>
      </c>
      <c r="F52" s="238" t="s">
        <v>271</v>
      </c>
      <c r="G52" s="10"/>
      <c r="H52" s="10"/>
      <c r="I52" s="10"/>
      <c r="J52" s="10"/>
      <c r="K52" s="237">
        <v>25</v>
      </c>
      <c r="L52" s="236">
        <v>60</v>
      </c>
      <c r="M52" s="10"/>
      <c r="N52" s="236">
        <v>23</v>
      </c>
      <c r="O52" s="10"/>
      <c r="P52" s="236">
        <v>60</v>
      </c>
      <c r="Q52" s="10"/>
      <c r="R52" s="10"/>
      <c r="S52" s="11"/>
    </row>
    <row r="53" spans="1:19" ht="12" customHeight="1" hidden="1">
      <c r="A53" s="9"/>
      <c r="B53" s="235">
        <v>16</v>
      </c>
      <c r="C53" s="235">
        <v>384</v>
      </c>
      <c r="D53" s="10"/>
      <c r="E53" s="237">
        <v>55</v>
      </c>
      <c r="F53" s="238" t="s">
        <v>271</v>
      </c>
      <c r="G53" s="10"/>
      <c r="H53" s="10"/>
      <c r="I53" s="10"/>
      <c r="J53" s="10"/>
      <c r="K53" s="237">
        <v>26</v>
      </c>
      <c r="L53" s="236">
        <v>60</v>
      </c>
      <c r="M53" s="10"/>
      <c r="N53" s="236">
        <v>24</v>
      </c>
      <c r="O53" s="10"/>
      <c r="P53" s="236">
        <v>60</v>
      </c>
      <c r="Q53" s="10"/>
      <c r="R53" s="10"/>
      <c r="S53" s="11"/>
    </row>
    <row r="54" spans="1:19" ht="12" customHeight="1" hidden="1">
      <c r="A54" s="9"/>
      <c r="B54" s="235">
        <v>17</v>
      </c>
      <c r="C54" s="235">
        <v>383</v>
      </c>
      <c r="D54" s="10"/>
      <c r="E54" s="234">
        <v>56</v>
      </c>
      <c r="F54" s="231" t="s">
        <v>272</v>
      </c>
      <c r="G54" s="10"/>
      <c r="H54" s="10"/>
      <c r="I54" s="10"/>
      <c r="J54" s="10"/>
      <c r="K54" s="237">
        <v>27</v>
      </c>
      <c r="L54" s="236">
        <v>60</v>
      </c>
      <c r="M54" s="10"/>
      <c r="N54" s="236">
        <v>25</v>
      </c>
      <c r="O54" s="10"/>
      <c r="P54" s="236">
        <v>60</v>
      </c>
      <c r="Q54" s="10"/>
      <c r="R54" s="10"/>
      <c r="S54" s="11"/>
    </row>
    <row r="55" spans="1:19" ht="12" customHeight="1" hidden="1">
      <c r="A55" s="9"/>
      <c r="B55" s="235">
        <v>18</v>
      </c>
      <c r="C55" s="235">
        <v>382</v>
      </c>
      <c r="D55" s="10"/>
      <c r="E55" s="234">
        <v>57</v>
      </c>
      <c r="F55" s="231" t="s">
        <v>273</v>
      </c>
      <c r="G55" s="10"/>
      <c r="H55" s="10"/>
      <c r="I55" s="10"/>
      <c r="J55" s="10"/>
      <c r="K55" s="237">
        <v>28</v>
      </c>
      <c r="L55" s="236">
        <v>60</v>
      </c>
      <c r="M55" s="10"/>
      <c r="N55" s="236">
        <v>26</v>
      </c>
      <c r="O55" s="10"/>
      <c r="P55" s="236">
        <v>60</v>
      </c>
      <c r="Q55" s="10"/>
      <c r="R55" s="10"/>
      <c r="S55" s="11"/>
    </row>
    <row r="56" spans="1:19" ht="12" customHeight="1" hidden="1">
      <c r="A56" s="9"/>
      <c r="B56" s="235">
        <v>19</v>
      </c>
      <c r="C56" s="235">
        <v>381</v>
      </c>
      <c r="D56" s="10"/>
      <c r="E56" s="234">
        <v>58</v>
      </c>
      <c r="F56" s="231" t="s">
        <v>274</v>
      </c>
      <c r="G56" s="10"/>
      <c r="H56" s="10"/>
      <c r="I56" s="10"/>
      <c r="J56" s="10"/>
      <c r="K56" s="237">
        <v>29</v>
      </c>
      <c r="L56" s="236">
        <v>60</v>
      </c>
      <c r="M56" s="10"/>
      <c r="N56" s="236">
        <v>27</v>
      </c>
      <c r="O56" s="10"/>
      <c r="P56" s="236">
        <v>60</v>
      </c>
      <c r="Q56" s="10"/>
      <c r="R56" s="10"/>
      <c r="S56" s="11"/>
    </row>
    <row r="57" spans="1:19" ht="12" customHeight="1" hidden="1">
      <c r="A57" s="9"/>
      <c r="B57" s="235">
        <v>20</v>
      </c>
      <c r="C57" s="235">
        <v>380</v>
      </c>
      <c r="D57" s="10"/>
      <c r="E57" s="234">
        <v>59</v>
      </c>
      <c r="F57" s="231" t="s">
        <v>172</v>
      </c>
      <c r="G57" s="10"/>
      <c r="H57" s="10"/>
      <c r="I57" s="10"/>
      <c r="J57" s="10"/>
      <c r="K57" s="237">
        <v>30</v>
      </c>
      <c r="L57" s="236">
        <v>60</v>
      </c>
      <c r="M57" s="10"/>
      <c r="N57" s="236">
        <v>28</v>
      </c>
      <c r="O57" s="10"/>
      <c r="P57" s="236">
        <v>60</v>
      </c>
      <c r="Q57" s="10"/>
      <c r="R57" s="10"/>
      <c r="S57" s="11"/>
    </row>
    <row r="58" spans="1:19" ht="12" customHeight="1" hidden="1">
      <c r="A58" s="9"/>
      <c r="B58" s="235">
        <v>21</v>
      </c>
      <c r="C58" s="235">
        <v>379</v>
      </c>
      <c r="D58" s="10"/>
      <c r="E58" s="234">
        <v>60</v>
      </c>
      <c r="F58" s="231" t="s">
        <v>162</v>
      </c>
      <c r="G58" s="10"/>
      <c r="H58" s="10"/>
      <c r="I58" s="10"/>
      <c r="J58" s="10"/>
      <c r="K58" s="237">
        <v>31</v>
      </c>
      <c r="L58" s="236">
        <v>60</v>
      </c>
      <c r="M58" s="10"/>
      <c r="N58" s="236">
        <v>29</v>
      </c>
      <c r="O58" s="10"/>
      <c r="P58" s="236">
        <v>60</v>
      </c>
      <c r="Q58" s="10"/>
      <c r="R58" s="10"/>
      <c r="S58" s="11"/>
    </row>
    <row r="59" spans="1:19" ht="12" customHeight="1" hidden="1">
      <c r="A59" s="9"/>
      <c r="B59" s="235">
        <v>22</v>
      </c>
      <c r="C59" s="235">
        <v>378</v>
      </c>
      <c r="D59" s="10"/>
      <c r="E59" s="233" t="s">
        <v>275</v>
      </c>
      <c r="F59" s="231" t="s">
        <v>232</v>
      </c>
      <c r="G59" s="10"/>
      <c r="H59" s="10"/>
      <c r="I59" s="10"/>
      <c r="J59" s="10"/>
      <c r="K59" s="237">
        <v>32</v>
      </c>
      <c r="L59" s="236">
        <v>60</v>
      </c>
      <c r="M59" s="10"/>
      <c r="N59" s="236">
        <v>30</v>
      </c>
      <c r="O59" s="10"/>
      <c r="P59" s="236">
        <v>60</v>
      </c>
      <c r="Q59" s="10"/>
      <c r="R59" s="10"/>
      <c r="S59" s="11"/>
    </row>
    <row r="60" spans="1:19" ht="12" customHeight="1" hidden="1">
      <c r="A60" s="9"/>
      <c r="B60" s="235">
        <v>23</v>
      </c>
      <c r="C60" s="235">
        <v>377</v>
      </c>
      <c r="D60" s="10"/>
      <c r="E60" s="10"/>
      <c r="F60" s="10"/>
      <c r="G60" s="10"/>
      <c r="H60" s="10"/>
      <c r="I60" s="10"/>
      <c r="J60" s="10"/>
      <c r="K60" s="237">
        <v>33</v>
      </c>
      <c r="L60" s="236">
        <v>60</v>
      </c>
      <c r="M60" s="10"/>
      <c r="N60" s="236">
        <v>31</v>
      </c>
      <c r="O60" s="10"/>
      <c r="P60" s="236">
        <v>60</v>
      </c>
      <c r="Q60" s="10"/>
      <c r="R60" s="10"/>
      <c r="S60" s="11"/>
    </row>
    <row r="61" spans="1:19" ht="12" customHeight="1" hidden="1">
      <c r="A61" s="9"/>
      <c r="B61" s="235">
        <v>24</v>
      </c>
      <c r="C61" s="235">
        <v>376</v>
      </c>
      <c r="D61" s="10"/>
      <c r="E61" s="10"/>
      <c r="F61" s="10"/>
      <c r="G61" s="10"/>
      <c r="H61" s="10"/>
      <c r="I61" s="10"/>
      <c r="J61" s="10"/>
      <c r="K61" s="237">
        <v>34</v>
      </c>
      <c r="L61" s="236">
        <v>60</v>
      </c>
      <c r="M61" s="10"/>
      <c r="N61" s="236">
        <v>32</v>
      </c>
      <c r="O61" s="10"/>
      <c r="P61" s="236">
        <v>60</v>
      </c>
      <c r="Q61" s="10"/>
      <c r="R61" s="10"/>
      <c r="S61" s="11"/>
    </row>
    <row r="62" spans="1:19" ht="12" customHeight="1" hidden="1">
      <c r="A62" s="9"/>
      <c r="B62" s="235">
        <v>25</v>
      </c>
      <c r="C62" s="235">
        <v>375</v>
      </c>
      <c r="D62" s="10"/>
      <c r="E62" s="10"/>
      <c r="F62" s="10"/>
      <c r="G62" s="10"/>
      <c r="H62" s="10"/>
      <c r="I62" s="10"/>
      <c r="J62" s="10"/>
      <c r="K62" s="237">
        <v>35</v>
      </c>
      <c r="L62" s="236">
        <v>60</v>
      </c>
      <c r="M62" s="10"/>
      <c r="N62" s="236">
        <v>33</v>
      </c>
      <c r="O62" s="10"/>
      <c r="P62" s="236">
        <v>60</v>
      </c>
      <c r="Q62" s="10"/>
      <c r="R62" s="10"/>
      <c r="S62" s="11"/>
    </row>
    <row r="63" spans="1:19" ht="12" customHeight="1" hidden="1">
      <c r="A63" s="9"/>
      <c r="B63" s="235">
        <v>26</v>
      </c>
      <c r="C63" s="235">
        <v>374</v>
      </c>
      <c r="D63" s="10"/>
      <c r="E63" s="10"/>
      <c r="F63" s="10"/>
      <c r="G63" s="10"/>
      <c r="H63" s="10"/>
      <c r="I63" s="10"/>
      <c r="J63" s="10"/>
      <c r="K63" s="234">
        <v>36</v>
      </c>
      <c r="L63" s="227">
        <f aca="true" t="shared" si="2" ref="L63:L77">L62-4</f>
        <v>56</v>
      </c>
      <c r="M63" s="10"/>
      <c r="N63" s="236">
        <v>34</v>
      </c>
      <c r="O63" s="10"/>
      <c r="P63" s="236">
        <v>60</v>
      </c>
      <c r="Q63" s="10"/>
      <c r="R63" s="10"/>
      <c r="S63" s="11"/>
    </row>
    <row r="64" spans="1:19" ht="12" customHeight="1" hidden="1">
      <c r="A64" s="9"/>
      <c r="B64" s="235">
        <v>27</v>
      </c>
      <c r="C64" s="235">
        <v>373</v>
      </c>
      <c r="D64" s="10"/>
      <c r="E64" s="10"/>
      <c r="F64" s="10"/>
      <c r="G64" s="10"/>
      <c r="H64" s="10"/>
      <c r="I64" s="10"/>
      <c r="J64" s="10"/>
      <c r="K64" s="234">
        <v>37</v>
      </c>
      <c r="L64" s="227">
        <f t="shared" si="2"/>
        <v>52</v>
      </c>
      <c r="M64" s="10"/>
      <c r="N64" s="236">
        <v>35</v>
      </c>
      <c r="O64" s="10"/>
      <c r="P64" s="236">
        <v>60</v>
      </c>
      <c r="Q64" s="10"/>
      <c r="R64" s="10"/>
      <c r="S64" s="11"/>
    </row>
    <row r="65" spans="1:19" ht="12" customHeight="1" hidden="1">
      <c r="A65" s="9"/>
      <c r="B65" s="235">
        <v>28</v>
      </c>
      <c r="C65" s="235">
        <v>372</v>
      </c>
      <c r="D65" s="10"/>
      <c r="E65" s="10"/>
      <c r="F65" s="10"/>
      <c r="G65" s="10"/>
      <c r="H65" s="10"/>
      <c r="I65" s="10"/>
      <c r="J65" s="10"/>
      <c r="K65" s="234">
        <v>38</v>
      </c>
      <c r="L65" s="227">
        <f t="shared" si="2"/>
        <v>48</v>
      </c>
      <c r="M65" s="10"/>
      <c r="N65" s="227">
        <v>36</v>
      </c>
      <c r="O65" s="10"/>
      <c r="P65" s="227">
        <f aca="true" t="shared" si="3" ref="P65:P76">P64-5</f>
        <v>55</v>
      </c>
      <c r="Q65" s="10"/>
      <c r="R65" s="10"/>
      <c r="S65" s="11"/>
    </row>
    <row r="66" spans="1:19" ht="12" customHeight="1" hidden="1">
      <c r="A66" s="9"/>
      <c r="B66" s="235">
        <v>29</v>
      </c>
      <c r="C66" s="235">
        <v>371</v>
      </c>
      <c r="D66" s="10"/>
      <c r="E66" s="10"/>
      <c r="F66" s="10"/>
      <c r="G66" s="10"/>
      <c r="H66" s="10"/>
      <c r="I66" s="10"/>
      <c r="J66" s="10"/>
      <c r="K66" s="234">
        <v>39</v>
      </c>
      <c r="L66" s="227">
        <f t="shared" si="2"/>
        <v>44</v>
      </c>
      <c r="M66" s="10"/>
      <c r="N66" s="227">
        <v>37</v>
      </c>
      <c r="O66" s="10"/>
      <c r="P66" s="227">
        <f t="shared" si="3"/>
        <v>50</v>
      </c>
      <c r="Q66" s="10"/>
      <c r="R66" s="10"/>
      <c r="S66" s="11"/>
    </row>
    <row r="67" spans="1:19" ht="12" customHeight="1" hidden="1">
      <c r="A67" s="9"/>
      <c r="B67" s="235">
        <v>30</v>
      </c>
      <c r="C67" s="235">
        <v>370</v>
      </c>
      <c r="D67" s="10"/>
      <c r="E67" s="10"/>
      <c r="F67" s="10"/>
      <c r="G67" s="10"/>
      <c r="H67" s="10"/>
      <c r="I67" s="10"/>
      <c r="J67" s="10"/>
      <c r="K67" s="234">
        <v>40</v>
      </c>
      <c r="L67" s="227">
        <f t="shared" si="2"/>
        <v>40</v>
      </c>
      <c r="M67" s="10"/>
      <c r="N67" s="227">
        <v>38</v>
      </c>
      <c r="O67" s="10"/>
      <c r="P67" s="227">
        <f t="shared" si="3"/>
        <v>45</v>
      </c>
      <c r="Q67" s="10"/>
      <c r="R67" s="10"/>
      <c r="S67" s="11"/>
    </row>
    <row r="68" spans="1:19" ht="12" customHeight="1" hidden="1">
      <c r="A68" s="9"/>
      <c r="B68" s="235">
        <v>31</v>
      </c>
      <c r="C68" s="235">
        <v>369</v>
      </c>
      <c r="D68" s="10"/>
      <c r="E68" s="10"/>
      <c r="F68" s="10"/>
      <c r="G68" s="10"/>
      <c r="H68" s="10"/>
      <c r="I68" s="10"/>
      <c r="J68" s="10"/>
      <c r="K68" s="234">
        <v>41</v>
      </c>
      <c r="L68" s="227">
        <f t="shared" si="2"/>
        <v>36</v>
      </c>
      <c r="M68" s="10"/>
      <c r="N68" s="227">
        <v>39</v>
      </c>
      <c r="O68" s="10"/>
      <c r="P68" s="227">
        <f t="shared" si="3"/>
        <v>40</v>
      </c>
      <c r="Q68" s="10"/>
      <c r="R68" s="10"/>
      <c r="S68" s="11"/>
    </row>
    <row r="69" spans="1:19" ht="12" customHeight="1" hidden="1">
      <c r="A69" s="9"/>
      <c r="B69" s="235">
        <v>32</v>
      </c>
      <c r="C69" s="235">
        <v>368</v>
      </c>
      <c r="D69" s="10"/>
      <c r="E69" s="10"/>
      <c r="F69" s="10"/>
      <c r="G69" s="10"/>
      <c r="H69" s="10"/>
      <c r="I69" s="10"/>
      <c r="J69" s="10"/>
      <c r="K69" s="234">
        <v>42</v>
      </c>
      <c r="L69" s="227">
        <f t="shared" si="2"/>
        <v>32</v>
      </c>
      <c r="M69" s="10"/>
      <c r="N69" s="227">
        <v>40</v>
      </c>
      <c r="O69" s="10"/>
      <c r="P69" s="227">
        <f t="shared" si="3"/>
        <v>35</v>
      </c>
      <c r="Q69" s="10"/>
      <c r="R69" s="10"/>
      <c r="S69" s="11"/>
    </row>
    <row r="70" spans="1:19" ht="12" customHeight="1" hidden="1">
      <c r="A70" s="9"/>
      <c r="B70" s="235">
        <v>33</v>
      </c>
      <c r="C70" s="235">
        <v>367</v>
      </c>
      <c r="D70" s="10"/>
      <c r="E70" s="10"/>
      <c r="F70" s="10"/>
      <c r="G70" s="10"/>
      <c r="H70" s="10"/>
      <c r="I70" s="10"/>
      <c r="J70" s="10"/>
      <c r="K70" s="234">
        <v>43</v>
      </c>
      <c r="L70" s="227">
        <f t="shared" si="2"/>
        <v>28</v>
      </c>
      <c r="M70" s="10"/>
      <c r="N70" s="227">
        <v>41</v>
      </c>
      <c r="O70" s="10"/>
      <c r="P70" s="227">
        <f t="shared" si="3"/>
        <v>30</v>
      </c>
      <c r="Q70" s="10"/>
      <c r="R70" s="10"/>
      <c r="S70" s="11"/>
    </row>
    <row r="71" spans="1:19" ht="12" customHeight="1" hidden="1">
      <c r="A71" s="9"/>
      <c r="B71" s="235">
        <v>34</v>
      </c>
      <c r="C71" s="235">
        <v>366</v>
      </c>
      <c r="D71" s="10"/>
      <c r="E71" s="10"/>
      <c r="F71" s="10"/>
      <c r="G71" s="10"/>
      <c r="H71" s="10"/>
      <c r="I71" s="10"/>
      <c r="J71" s="10"/>
      <c r="K71" s="234">
        <v>44</v>
      </c>
      <c r="L71" s="227">
        <f t="shared" si="2"/>
        <v>24</v>
      </c>
      <c r="M71" s="10"/>
      <c r="N71" s="227">
        <v>42</v>
      </c>
      <c r="O71" s="10"/>
      <c r="P71" s="227">
        <f t="shared" si="3"/>
        <v>25</v>
      </c>
      <c r="Q71" s="10"/>
      <c r="R71" s="10"/>
      <c r="S71" s="11"/>
    </row>
    <row r="72" spans="1:19" ht="12" customHeight="1" hidden="1">
      <c r="A72" s="9"/>
      <c r="B72" s="235">
        <v>35</v>
      </c>
      <c r="C72" s="235">
        <v>365</v>
      </c>
      <c r="D72" s="10"/>
      <c r="E72" s="10"/>
      <c r="F72" s="10"/>
      <c r="G72" s="10"/>
      <c r="H72" s="10"/>
      <c r="I72" s="10"/>
      <c r="J72" s="10"/>
      <c r="K72" s="234">
        <v>45</v>
      </c>
      <c r="L72" s="227">
        <f t="shared" si="2"/>
        <v>20</v>
      </c>
      <c r="M72" s="10"/>
      <c r="N72" s="227">
        <v>43</v>
      </c>
      <c r="O72" s="10"/>
      <c r="P72" s="227">
        <f t="shared" si="3"/>
        <v>20</v>
      </c>
      <c r="Q72" s="10"/>
      <c r="R72" s="10"/>
      <c r="S72" s="11"/>
    </row>
    <row r="73" spans="1:19" ht="12" customHeight="1" hidden="1">
      <c r="A73" s="9"/>
      <c r="B73" s="235">
        <v>36</v>
      </c>
      <c r="C73" s="235">
        <v>364</v>
      </c>
      <c r="D73" s="10"/>
      <c r="E73" s="10"/>
      <c r="F73" s="10"/>
      <c r="G73" s="10"/>
      <c r="H73" s="10"/>
      <c r="I73" s="10"/>
      <c r="J73" s="10"/>
      <c r="K73" s="234">
        <v>46</v>
      </c>
      <c r="L73" s="227">
        <f t="shared" si="2"/>
        <v>16</v>
      </c>
      <c r="M73" s="10"/>
      <c r="N73" s="227">
        <v>44</v>
      </c>
      <c r="O73" s="10"/>
      <c r="P73" s="227">
        <f t="shared" si="3"/>
        <v>15</v>
      </c>
      <c r="Q73" s="10"/>
      <c r="R73" s="10"/>
      <c r="S73" s="11"/>
    </row>
    <row r="74" spans="1:19" ht="12" customHeight="1" hidden="1">
      <c r="A74" s="9"/>
      <c r="B74" s="235">
        <v>37</v>
      </c>
      <c r="C74" s="235">
        <v>363</v>
      </c>
      <c r="D74" s="10"/>
      <c r="E74" s="10"/>
      <c r="F74" s="10"/>
      <c r="G74" s="10"/>
      <c r="H74" s="10"/>
      <c r="I74" s="10"/>
      <c r="J74" s="10"/>
      <c r="K74" s="234">
        <v>47</v>
      </c>
      <c r="L74" s="227">
        <f t="shared" si="2"/>
        <v>12</v>
      </c>
      <c r="M74" s="10"/>
      <c r="N74" s="227">
        <v>45</v>
      </c>
      <c r="O74" s="10"/>
      <c r="P74" s="227">
        <f t="shared" si="3"/>
        <v>10</v>
      </c>
      <c r="Q74" s="10"/>
      <c r="R74" s="10"/>
      <c r="S74" s="11"/>
    </row>
    <row r="75" spans="1:19" ht="12" customHeight="1" hidden="1">
      <c r="A75" s="9"/>
      <c r="B75" s="235">
        <v>38</v>
      </c>
      <c r="C75" s="235">
        <v>362</v>
      </c>
      <c r="D75" s="10"/>
      <c r="E75" s="10"/>
      <c r="F75" s="10"/>
      <c r="G75" s="10"/>
      <c r="H75" s="10"/>
      <c r="I75" s="10"/>
      <c r="J75" s="10"/>
      <c r="K75" s="234">
        <v>48</v>
      </c>
      <c r="L75" s="227">
        <f t="shared" si="2"/>
        <v>8</v>
      </c>
      <c r="M75" s="10"/>
      <c r="N75" s="227">
        <v>46</v>
      </c>
      <c r="O75" s="10"/>
      <c r="P75" s="227">
        <f t="shared" si="3"/>
        <v>5</v>
      </c>
      <c r="Q75" s="10"/>
      <c r="R75" s="10"/>
      <c r="S75" s="11"/>
    </row>
    <row r="76" spans="1:19" ht="12" customHeight="1" hidden="1">
      <c r="A76" s="9"/>
      <c r="B76" s="235">
        <v>39</v>
      </c>
      <c r="C76" s="235">
        <v>361</v>
      </c>
      <c r="D76" s="10"/>
      <c r="E76" s="10"/>
      <c r="F76" s="10"/>
      <c r="G76" s="10"/>
      <c r="H76" s="10"/>
      <c r="I76" s="10"/>
      <c r="J76" s="10"/>
      <c r="K76" s="234">
        <v>49</v>
      </c>
      <c r="L76" s="227">
        <f t="shared" si="2"/>
        <v>4</v>
      </c>
      <c r="M76" s="10"/>
      <c r="N76" s="231" t="s">
        <v>276</v>
      </c>
      <c r="O76" s="10"/>
      <c r="P76" s="227">
        <f t="shared" si="3"/>
        <v>0</v>
      </c>
      <c r="Q76" s="10"/>
      <c r="R76" s="10"/>
      <c r="S76" s="11"/>
    </row>
    <row r="77" spans="1:19" ht="12" customHeight="1" hidden="1">
      <c r="A77" s="9"/>
      <c r="B77" s="235">
        <v>40</v>
      </c>
      <c r="C77" s="235">
        <v>360</v>
      </c>
      <c r="D77" s="10"/>
      <c r="E77" s="10"/>
      <c r="F77" s="10"/>
      <c r="G77" s="10"/>
      <c r="H77" s="10"/>
      <c r="I77" s="10"/>
      <c r="J77" s="10"/>
      <c r="K77" s="231" t="s">
        <v>272</v>
      </c>
      <c r="L77" s="227">
        <f t="shared" si="2"/>
        <v>0</v>
      </c>
      <c r="M77" s="10"/>
      <c r="N77" s="10"/>
      <c r="O77" s="10"/>
      <c r="P77" s="10"/>
      <c r="Q77" s="10"/>
      <c r="R77" s="10"/>
      <c r="S77" s="11"/>
    </row>
    <row r="78" spans="1:19" ht="12" customHeight="1" hidden="1">
      <c r="A78" s="9"/>
      <c r="B78" s="235">
        <v>41</v>
      </c>
      <c r="C78" s="235">
        <v>359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1"/>
    </row>
    <row r="79" spans="1:19" ht="12" customHeight="1" hidden="1">
      <c r="A79" s="9"/>
      <c r="B79" s="235">
        <v>42</v>
      </c>
      <c r="C79" s="235">
        <v>358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1"/>
    </row>
    <row r="80" spans="1:19" ht="12" customHeight="1" hidden="1">
      <c r="A80" s="9"/>
      <c r="B80" s="235">
        <v>43</v>
      </c>
      <c r="C80" s="235">
        <v>357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1"/>
    </row>
    <row r="81" spans="1:19" ht="12" customHeight="1" hidden="1">
      <c r="A81" s="9"/>
      <c r="B81" s="235">
        <v>44</v>
      </c>
      <c r="C81" s="235">
        <v>356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1"/>
    </row>
    <row r="82" spans="1:19" ht="12" customHeight="1" hidden="1">
      <c r="A82" s="9"/>
      <c r="B82" s="235">
        <v>45</v>
      </c>
      <c r="C82" s="235">
        <v>355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1"/>
    </row>
    <row r="83" spans="1:19" ht="12" customHeight="1" hidden="1">
      <c r="A83" s="9"/>
      <c r="B83" s="235">
        <v>46</v>
      </c>
      <c r="C83" s="235">
        <v>354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1"/>
    </row>
    <row r="84" spans="1:19" ht="12" customHeight="1" hidden="1">
      <c r="A84" s="9"/>
      <c r="B84" s="235">
        <v>47</v>
      </c>
      <c r="C84" s="235">
        <v>353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1"/>
    </row>
    <row r="85" spans="1:19" ht="12" customHeight="1" hidden="1">
      <c r="A85" s="9"/>
      <c r="B85" s="235">
        <v>48</v>
      </c>
      <c r="C85" s="235">
        <v>352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1"/>
    </row>
    <row r="86" spans="1:19" ht="12" customHeight="1" hidden="1">
      <c r="A86" s="9"/>
      <c r="B86" s="235">
        <v>49</v>
      </c>
      <c r="C86" s="235">
        <v>351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1"/>
    </row>
    <row r="87" spans="1:19" ht="12" customHeight="1" hidden="1">
      <c r="A87" s="9"/>
      <c r="B87" s="235">
        <v>50</v>
      </c>
      <c r="C87" s="235">
        <v>350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1"/>
    </row>
    <row r="88" spans="1:19" ht="12" customHeight="1" hidden="1">
      <c r="A88" s="9"/>
      <c r="B88" s="235">
        <v>51</v>
      </c>
      <c r="C88" s="235">
        <v>349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1"/>
    </row>
    <row r="89" spans="1:19" ht="12" customHeight="1" hidden="1">
      <c r="A89" s="9"/>
      <c r="B89" s="235">
        <v>52</v>
      </c>
      <c r="C89" s="235">
        <v>348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1"/>
    </row>
    <row r="90" spans="1:19" ht="12" customHeight="1" hidden="1">
      <c r="A90" s="9"/>
      <c r="B90" s="235">
        <v>53</v>
      </c>
      <c r="C90" s="235">
        <v>347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1"/>
    </row>
    <row r="91" spans="1:19" ht="12" customHeight="1" hidden="1">
      <c r="A91" s="9"/>
      <c r="B91" s="235">
        <v>54</v>
      </c>
      <c r="C91" s="235">
        <v>346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1"/>
    </row>
    <row r="92" spans="1:19" ht="12" customHeight="1" hidden="1">
      <c r="A92" s="9"/>
      <c r="B92" s="235">
        <v>55</v>
      </c>
      <c r="C92" s="235">
        <v>345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1"/>
    </row>
    <row r="93" spans="1:19" ht="12" customHeight="1" hidden="1">
      <c r="A93" s="9"/>
      <c r="B93" s="235">
        <v>56</v>
      </c>
      <c r="C93" s="235">
        <v>344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1"/>
    </row>
    <row r="94" spans="1:19" ht="12" customHeight="1" hidden="1">
      <c r="A94" s="9"/>
      <c r="B94" s="235">
        <v>57</v>
      </c>
      <c r="C94" s="235">
        <v>343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1"/>
    </row>
    <row r="95" spans="1:19" ht="12" customHeight="1" hidden="1">
      <c r="A95" s="9"/>
      <c r="B95" s="235">
        <v>58</v>
      </c>
      <c r="C95" s="235">
        <v>342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1"/>
    </row>
    <row r="96" spans="1:19" ht="12" customHeight="1" hidden="1">
      <c r="A96" s="9"/>
      <c r="B96" s="235">
        <v>59</v>
      </c>
      <c r="C96" s="235">
        <v>341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1"/>
    </row>
    <row r="97" spans="1:19" ht="12" customHeight="1" hidden="1">
      <c r="A97" s="9"/>
      <c r="B97" s="235">
        <v>60</v>
      </c>
      <c r="C97" s="235">
        <v>340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1"/>
    </row>
    <row r="98" spans="1:19" ht="12" customHeight="1" hidden="1">
      <c r="A98" s="34"/>
      <c r="B98" s="239">
        <v>61</v>
      </c>
      <c r="C98" s="239">
        <v>339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8"/>
    </row>
  </sheetData>
  <sheetProtection password="E074" sheet="1" objects="1" scenarios="1"/>
  <mergeCells count="87">
    <mergeCell ref="N4:S5"/>
    <mergeCell ref="I24:L24"/>
    <mergeCell ref="B19:F19"/>
    <mergeCell ref="B18:F18"/>
    <mergeCell ref="G21:H21"/>
    <mergeCell ref="B17:F17"/>
    <mergeCell ref="Q7:S7"/>
    <mergeCell ref="B24:F24"/>
    <mergeCell ref="G23:H23"/>
    <mergeCell ref="N19:P19"/>
    <mergeCell ref="A2:H2"/>
    <mergeCell ref="I17:L17"/>
    <mergeCell ref="B35:C35"/>
    <mergeCell ref="B29:F29"/>
    <mergeCell ref="B20:F20"/>
    <mergeCell ref="B25:F25"/>
    <mergeCell ref="I20:L20"/>
    <mergeCell ref="B21:F21"/>
    <mergeCell ref="G16:H16"/>
    <mergeCell ref="B28:F28"/>
    <mergeCell ref="A3:B3"/>
    <mergeCell ref="B16:F16"/>
    <mergeCell ref="B12:E13"/>
    <mergeCell ref="G12:G13"/>
    <mergeCell ref="B14:E15"/>
    <mergeCell ref="G14:G15"/>
    <mergeCell ref="B9:F9"/>
    <mergeCell ref="A14:A15"/>
    <mergeCell ref="B10:F10"/>
    <mergeCell ref="B11:F11"/>
    <mergeCell ref="B27:F27"/>
    <mergeCell ref="N7:P7"/>
    <mergeCell ref="I27:L27"/>
    <mergeCell ref="B26:F26"/>
    <mergeCell ref="I26:L26"/>
    <mergeCell ref="G19:H19"/>
    <mergeCell ref="B22:F22"/>
    <mergeCell ref="H12:H13"/>
    <mergeCell ref="N26:P26"/>
    <mergeCell ref="N25:P25"/>
    <mergeCell ref="A12:A13"/>
    <mergeCell ref="B8:F8"/>
    <mergeCell ref="I25:L25"/>
    <mergeCell ref="I14:L15"/>
    <mergeCell ref="G22:H22"/>
    <mergeCell ref="I10:L10"/>
    <mergeCell ref="H14:H15"/>
    <mergeCell ref="G18:H18"/>
    <mergeCell ref="B23:F23"/>
    <mergeCell ref="I11:L11"/>
    <mergeCell ref="J4:L5"/>
    <mergeCell ref="I9:L9"/>
    <mergeCell ref="H3:J3"/>
    <mergeCell ref="I6:L6"/>
    <mergeCell ref="K3:S3"/>
    <mergeCell ref="M4:M5"/>
    <mergeCell ref="G6:H6"/>
    <mergeCell ref="C3:G3"/>
    <mergeCell ref="H4:I5"/>
    <mergeCell ref="B6:F6"/>
    <mergeCell ref="I8:L8"/>
    <mergeCell ref="P31:Q31"/>
    <mergeCell ref="N30:P30"/>
    <mergeCell ref="I31:L31"/>
    <mergeCell ref="N29:P29"/>
    <mergeCell ref="N28:P28"/>
    <mergeCell ref="I28:L28"/>
    <mergeCell ref="I29:L29"/>
    <mergeCell ref="I30:L30"/>
    <mergeCell ref="Q8:S8"/>
    <mergeCell ref="I2:S2"/>
    <mergeCell ref="N6:S6"/>
    <mergeCell ref="Q10:S10"/>
    <mergeCell ref="N22:P22"/>
    <mergeCell ref="Q9:S9"/>
    <mergeCell ref="N21:P21"/>
    <mergeCell ref="N16:P16"/>
    <mergeCell ref="I12:L13"/>
    <mergeCell ref="N20:P20"/>
    <mergeCell ref="N18:P18"/>
    <mergeCell ref="Q12:S13"/>
    <mergeCell ref="Q11:S11"/>
    <mergeCell ref="N27:P27"/>
    <mergeCell ref="Q14:S15"/>
    <mergeCell ref="N17:P17"/>
    <mergeCell ref="N24:P24"/>
    <mergeCell ref="N23:P23"/>
  </mergeCells>
  <printOptions/>
  <pageMargins left="0.7875" right="0.354861" top="0.577083" bottom="0.576389" header="0.511806" footer="0.511806"/>
  <pageSetup horizontalDpi="600" verticalDpi="600" orientation="portrait" scale="77"/>
  <headerFooter alignWithMargins="0">
    <oddFooter>&amp;C000000&amp;P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Y123"/>
  <sheetViews>
    <sheetView showGridLines="0" defaultGridColor="0" colorId="32" workbookViewId="0" topLeftCell="A1">
      <selection activeCell="A1" sqref="A1:H2"/>
    </sheetView>
  </sheetViews>
  <sheetFormatPr defaultColWidth="8.8515625" defaultRowHeight="12" customHeight="1"/>
  <cols>
    <col min="1" max="5" width="6.140625" style="240" customWidth="1"/>
    <col min="6" max="6" width="15.00390625" style="240" customWidth="1"/>
    <col min="7" max="17" width="6.140625" style="240" customWidth="1"/>
    <col min="18" max="18" width="5.00390625" style="240" customWidth="1"/>
    <col min="19" max="19" width="9.00390625" style="240" customWidth="1"/>
    <col min="20" max="25" width="8.8515625" style="240" hidden="1" customWidth="1"/>
    <col min="26" max="26" width="9.00390625" style="240" customWidth="1"/>
    <col min="27" max="27" width="9.140625" style="240" customWidth="1"/>
    <col min="28" max="16384" width="8.8515625" style="5" customWidth="1"/>
  </cols>
  <sheetData>
    <row r="1" spans="1:25" s="241" customFormat="1" ht="15.75" customHeight="1">
      <c r="A1" s="787" t="s">
        <v>278</v>
      </c>
      <c r="B1" s="788"/>
      <c r="C1" s="788"/>
      <c r="D1" s="788"/>
      <c r="E1" s="788"/>
      <c r="F1" s="788"/>
      <c r="G1" s="788"/>
      <c r="H1" s="788"/>
      <c r="I1" s="791" t="s">
        <v>279</v>
      </c>
      <c r="J1" s="788"/>
      <c r="K1" s="788"/>
      <c r="L1" s="788"/>
      <c r="M1" s="788"/>
      <c r="N1" s="788"/>
      <c r="O1" s="788"/>
      <c r="P1" s="788"/>
      <c r="Q1" s="792"/>
      <c r="R1" s="242"/>
      <c r="T1" s="243">
        <v>7.1</v>
      </c>
      <c r="U1" s="243">
        <f>T1+0.1</f>
        <v>7.199999999999999</v>
      </c>
      <c r="V1" s="243">
        <f>U1+0.1</f>
        <v>7.299999999999999</v>
      </c>
      <c r="W1" s="243">
        <f>V1+0.1</f>
        <v>7.399999999999999</v>
      </c>
      <c r="X1" s="243">
        <f>W1+0.1</f>
        <v>7.499999999999998</v>
      </c>
      <c r="Y1" s="243">
        <v>144</v>
      </c>
    </row>
    <row r="2" spans="1:25" s="241" customFormat="1" ht="15.75" customHeight="1">
      <c r="A2" s="789"/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3"/>
      <c r="R2" s="244"/>
      <c r="T2" s="245">
        <f aca="true" t="shared" si="0" ref="T2:T33">T1+0.5</f>
        <v>7.6</v>
      </c>
      <c r="U2" s="245">
        <f aca="true" t="shared" si="1" ref="U2:U33">U1+0.5</f>
        <v>7.699999999999999</v>
      </c>
      <c r="V2" s="245">
        <f aca="true" t="shared" si="2" ref="V2:V33">V1+0.5</f>
        <v>7.799999999999999</v>
      </c>
      <c r="W2" s="245">
        <f aca="true" t="shared" si="3" ref="W2:W33">W1+0.5</f>
        <v>7.899999999999999</v>
      </c>
      <c r="X2" s="245">
        <f aca="true" t="shared" si="4" ref="X2:X33">X1+0.5</f>
        <v>7.999999999999998</v>
      </c>
      <c r="Y2" s="14">
        <v>142</v>
      </c>
    </row>
    <row r="3" spans="1:25" s="241" customFormat="1" ht="28.5" customHeight="1">
      <c r="A3" s="782" t="s">
        <v>220</v>
      </c>
      <c r="B3" s="750"/>
      <c r="C3" s="750"/>
      <c r="D3" s="750"/>
      <c r="E3" s="750"/>
      <c r="F3" s="750"/>
      <c r="G3" s="751"/>
      <c r="H3" s="744" t="s">
        <v>221</v>
      </c>
      <c r="I3" s="688"/>
      <c r="J3" s="745"/>
      <c r="K3" s="746"/>
      <c r="L3" s="747"/>
      <c r="M3" s="747"/>
      <c r="N3" s="747"/>
      <c r="O3" s="747"/>
      <c r="P3" s="747"/>
      <c r="Q3" s="747"/>
      <c r="R3" s="246"/>
      <c r="T3" s="245">
        <f t="shared" si="0"/>
        <v>8.1</v>
      </c>
      <c r="U3" s="245">
        <f t="shared" si="1"/>
        <v>8.2</v>
      </c>
      <c r="V3" s="245">
        <f t="shared" si="2"/>
        <v>8.299999999999999</v>
      </c>
      <c r="W3" s="245">
        <f t="shared" si="3"/>
        <v>8.399999999999999</v>
      </c>
      <c r="X3" s="245">
        <f t="shared" si="4"/>
        <v>8.499999999999998</v>
      </c>
      <c r="Y3" s="14">
        <v>140</v>
      </c>
    </row>
    <row r="4" spans="1:25" s="241" customFormat="1" ht="10.5" customHeight="1">
      <c r="A4" s="247"/>
      <c r="B4" s="248"/>
      <c r="C4" s="248"/>
      <c r="D4" s="248"/>
      <c r="E4" s="248"/>
      <c r="F4" s="248"/>
      <c r="G4" s="248"/>
      <c r="H4" s="248"/>
      <c r="I4" s="780" t="s">
        <v>222</v>
      </c>
      <c r="J4" s="781"/>
      <c r="K4" s="781"/>
      <c r="L4" s="781"/>
      <c r="M4" s="776" t="s">
        <v>223</v>
      </c>
      <c r="N4" s="769">
        <f>IF(N19&lt;=0,0,IF(J10="i",0,IF(J17="i",0,N19)))</f>
        <v>0</v>
      </c>
      <c r="O4" s="769"/>
      <c r="P4" s="769"/>
      <c r="Q4" s="770"/>
      <c r="R4" s="246"/>
      <c r="T4" s="245">
        <f t="shared" si="0"/>
        <v>8.6</v>
      </c>
      <c r="U4" s="245">
        <f t="shared" si="1"/>
        <v>8.7</v>
      </c>
      <c r="V4" s="245">
        <f t="shared" si="2"/>
        <v>8.799999999999999</v>
      </c>
      <c r="W4" s="245">
        <f t="shared" si="3"/>
        <v>8.899999999999999</v>
      </c>
      <c r="X4" s="245">
        <f t="shared" si="4"/>
        <v>8.999999999999998</v>
      </c>
      <c r="Y4" s="14">
        <f aca="true" t="shared" si="5" ref="Y4:Y23">Y3-2</f>
        <v>138</v>
      </c>
    </row>
    <row r="5" spans="1:25" s="241" customFormat="1" ht="19.5" customHeight="1">
      <c r="A5" s="250"/>
      <c r="B5" s="251"/>
      <c r="C5" s="251"/>
      <c r="D5" s="251"/>
      <c r="E5" s="251"/>
      <c r="F5" s="251"/>
      <c r="G5" s="251"/>
      <c r="H5" s="251"/>
      <c r="I5" s="781"/>
      <c r="J5" s="781"/>
      <c r="K5" s="781"/>
      <c r="L5" s="781"/>
      <c r="M5" s="783"/>
      <c r="N5" s="769"/>
      <c r="O5" s="769"/>
      <c r="P5" s="769"/>
      <c r="Q5" s="770"/>
      <c r="R5" s="246"/>
      <c r="T5" s="253">
        <f t="shared" si="0"/>
        <v>9.1</v>
      </c>
      <c r="U5" s="253">
        <f t="shared" si="1"/>
        <v>9.2</v>
      </c>
      <c r="V5" s="253">
        <f t="shared" si="2"/>
        <v>9.299999999999999</v>
      </c>
      <c r="W5" s="253">
        <f t="shared" si="3"/>
        <v>9.399999999999999</v>
      </c>
      <c r="X5" s="253">
        <f t="shared" si="4"/>
        <v>9.499999999999998</v>
      </c>
      <c r="Y5" s="254">
        <f t="shared" si="5"/>
        <v>136</v>
      </c>
    </row>
    <row r="6" spans="1:25" s="241" customFormat="1" ht="19.5" customHeight="1">
      <c r="A6" s="255" t="s">
        <v>224</v>
      </c>
      <c r="B6" s="256" t="s">
        <v>225</v>
      </c>
      <c r="C6" s="257"/>
      <c r="D6" s="257"/>
      <c r="E6" s="257"/>
      <c r="F6" s="258"/>
      <c r="G6" s="259" t="s">
        <v>280</v>
      </c>
      <c r="H6" s="260"/>
      <c r="I6" s="778" t="s">
        <v>227</v>
      </c>
      <c r="J6" s="786"/>
      <c r="K6" s="786"/>
      <c r="L6" s="786"/>
      <c r="M6" s="261"/>
      <c r="N6" s="775" t="s">
        <v>224</v>
      </c>
      <c r="O6" s="776"/>
      <c r="P6" s="776"/>
      <c r="Q6" s="777"/>
      <c r="R6" s="246"/>
      <c r="T6" s="245">
        <f t="shared" si="0"/>
        <v>9.6</v>
      </c>
      <c r="U6" s="245">
        <f t="shared" si="1"/>
        <v>9.7</v>
      </c>
      <c r="V6" s="245">
        <f t="shared" si="2"/>
        <v>9.799999999999999</v>
      </c>
      <c r="W6" s="245">
        <f t="shared" si="3"/>
        <v>9.899999999999999</v>
      </c>
      <c r="X6" s="245">
        <f t="shared" si="4"/>
        <v>9.999999999999998</v>
      </c>
      <c r="Y6" s="14">
        <f t="shared" si="5"/>
        <v>134</v>
      </c>
    </row>
    <row r="7" spans="1:25" s="241" customFormat="1" ht="19.5" customHeight="1">
      <c r="A7" s="262"/>
      <c r="B7" s="263"/>
      <c r="C7" s="257"/>
      <c r="D7" s="257"/>
      <c r="E7" s="257"/>
      <c r="F7" s="257"/>
      <c r="G7" s="264"/>
      <c r="H7" s="264"/>
      <c r="I7" s="249"/>
      <c r="J7" s="252"/>
      <c r="K7" s="252"/>
      <c r="L7" s="252"/>
      <c r="M7" s="265"/>
      <c r="N7" s="707" t="s">
        <v>143</v>
      </c>
      <c r="O7" s="779"/>
      <c r="P7" s="707" t="s">
        <v>228</v>
      </c>
      <c r="Q7" s="779"/>
      <c r="R7" s="246"/>
      <c r="T7" s="245">
        <f t="shared" si="0"/>
        <v>10.1</v>
      </c>
      <c r="U7" s="245">
        <f t="shared" si="1"/>
        <v>10.2</v>
      </c>
      <c r="V7" s="245">
        <f t="shared" si="2"/>
        <v>10.299999999999999</v>
      </c>
      <c r="W7" s="245">
        <f t="shared" si="3"/>
        <v>10.399999999999999</v>
      </c>
      <c r="X7" s="245">
        <f t="shared" si="4"/>
        <v>10.499999999999998</v>
      </c>
      <c r="Y7" s="14">
        <f t="shared" si="5"/>
        <v>132</v>
      </c>
    </row>
    <row r="8" spans="1:25" s="241" customFormat="1" ht="19.5" customHeight="1">
      <c r="A8" s="255" t="s">
        <v>281</v>
      </c>
      <c r="B8" s="771" t="s">
        <v>282</v>
      </c>
      <c r="C8" s="772"/>
      <c r="D8" s="772"/>
      <c r="E8" s="772"/>
      <c r="F8" s="773">
        <v>0</v>
      </c>
      <c r="G8" s="774"/>
      <c r="H8" s="266" t="s">
        <v>283</v>
      </c>
      <c r="I8" s="745"/>
      <c r="J8" s="750"/>
      <c r="K8" s="750"/>
      <c r="L8" s="751"/>
      <c r="M8" s="267"/>
      <c r="N8" s="268"/>
      <c r="O8" s="269"/>
      <c r="P8" s="710">
        <f>IF(I8="",0,VLOOKUP(I8,T1:Y123,6))</f>
        <v>0</v>
      </c>
      <c r="Q8" s="709"/>
      <c r="R8" s="246"/>
      <c r="T8" s="245">
        <f t="shared" si="0"/>
        <v>10.6</v>
      </c>
      <c r="U8" s="245">
        <f t="shared" si="1"/>
        <v>10.7</v>
      </c>
      <c r="V8" s="245">
        <f t="shared" si="2"/>
        <v>10.799999999999999</v>
      </c>
      <c r="W8" s="245">
        <f t="shared" si="3"/>
        <v>10.899999999999999</v>
      </c>
      <c r="X8" s="245">
        <f t="shared" si="4"/>
        <v>10.999999999999998</v>
      </c>
      <c r="Y8" s="14">
        <f t="shared" si="5"/>
        <v>130</v>
      </c>
    </row>
    <row r="9" spans="1:25" s="241" customFormat="1" ht="19.5" customHeight="1">
      <c r="A9" s="255" t="s">
        <v>284</v>
      </c>
      <c r="B9" s="771" t="s">
        <v>285</v>
      </c>
      <c r="C9" s="772"/>
      <c r="D9" s="772"/>
      <c r="E9" s="772"/>
      <c r="F9" s="772"/>
      <c r="G9" s="778" t="s">
        <v>247</v>
      </c>
      <c r="H9" s="778"/>
      <c r="I9" s="270" t="s">
        <v>286</v>
      </c>
      <c r="J9" s="587"/>
      <c r="K9" s="270" t="s">
        <v>287</v>
      </c>
      <c r="L9" s="587"/>
      <c r="M9" s="267"/>
      <c r="N9" s="271">
        <f>IF(OR(L9="n",J9=""),0,-50)</f>
        <v>0</v>
      </c>
      <c r="O9" s="272"/>
      <c r="P9" s="268"/>
      <c r="Q9" s="269"/>
      <c r="R9" s="246"/>
      <c r="T9" s="245">
        <f t="shared" si="0"/>
        <v>11.1</v>
      </c>
      <c r="U9" s="245">
        <f t="shared" si="1"/>
        <v>11.2</v>
      </c>
      <c r="V9" s="245">
        <f t="shared" si="2"/>
        <v>11.299999999999999</v>
      </c>
      <c r="W9" s="245">
        <f t="shared" si="3"/>
        <v>11.399999999999999</v>
      </c>
      <c r="X9" s="245">
        <f t="shared" si="4"/>
        <v>11.499999999999998</v>
      </c>
      <c r="Y9" s="14">
        <f t="shared" si="5"/>
        <v>128</v>
      </c>
    </row>
    <row r="10" spans="1:25" s="241" customFormat="1" ht="19.5" customHeight="1">
      <c r="A10" s="255" t="s">
        <v>232</v>
      </c>
      <c r="B10" s="771" t="s">
        <v>288</v>
      </c>
      <c r="C10" s="772"/>
      <c r="D10" s="772"/>
      <c r="E10" s="772"/>
      <c r="F10" s="772"/>
      <c r="G10" s="778" t="s">
        <v>247</v>
      </c>
      <c r="H10" s="778"/>
      <c r="I10" s="270" t="s">
        <v>286</v>
      </c>
      <c r="J10" s="587"/>
      <c r="K10" s="270" t="s">
        <v>287</v>
      </c>
      <c r="L10" s="587"/>
      <c r="M10" s="267"/>
      <c r="N10" s="271">
        <f>IF(L10="n",0,IF(J10="i","szerelés nulla pont",0))</f>
        <v>0</v>
      </c>
      <c r="O10" s="272"/>
      <c r="P10" s="268"/>
      <c r="Q10" s="269"/>
      <c r="R10" s="246"/>
      <c r="T10" s="245">
        <f t="shared" si="0"/>
        <v>11.6</v>
      </c>
      <c r="U10" s="245">
        <f t="shared" si="1"/>
        <v>11.7</v>
      </c>
      <c r="V10" s="245">
        <f t="shared" si="2"/>
        <v>11.799999999999999</v>
      </c>
      <c r="W10" s="245">
        <f t="shared" si="3"/>
        <v>11.899999999999999</v>
      </c>
      <c r="X10" s="245">
        <f t="shared" si="4"/>
        <v>11.999999999999998</v>
      </c>
      <c r="Y10" s="14">
        <f t="shared" si="5"/>
        <v>126</v>
      </c>
    </row>
    <row r="11" spans="1:25" s="241" customFormat="1" ht="19.5" customHeight="1">
      <c r="A11" s="255" t="s">
        <v>289</v>
      </c>
      <c r="B11" s="771" t="s">
        <v>290</v>
      </c>
      <c r="C11" s="772"/>
      <c r="D11" s="772"/>
      <c r="E11" s="772"/>
      <c r="F11" s="772"/>
      <c r="G11" s="778" t="s">
        <v>247</v>
      </c>
      <c r="H11" s="778"/>
      <c r="I11" s="270" t="s">
        <v>286</v>
      </c>
      <c r="J11" s="587"/>
      <c r="K11" s="270" t="s">
        <v>287</v>
      </c>
      <c r="L11" s="587"/>
      <c r="M11" s="267"/>
      <c r="N11" s="271">
        <f>IF(OR(L11="n",J11=""),0,-20)</f>
        <v>0</v>
      </c>
      <c r="O11" s="272"/>
      <c r="P11" s="268"/>
      <c r="Q11" s="269"/>
      <c r="R11" s="246"/>
      <c r="T11" s="245">
        <f t="shared" si="0"/>
        <v>12.1</v>
      </c>
      <c r="U11" s="245">
        <f t="shared" si="1"/>
        <v>12.2</v>
      </c>
      <c r="V11" s="245">
        <f t="shared" si="2"/>
        <v>12.299999999999999</v>
      </c>
      <c r="W11" s="245">
        <f t="shared" si="3"/>
        <v>12.399999999999999</v>
      </c>
      <c r="X11" s="245">
        <f t="shared" si="4"/>
        <v>12.499999999999998</v>
      </c>
      <c r="Y11" s="14">
        <f t="shared" si="5"/>
        <v>124</v>
      </c>
    </row>
    <row r="12" spans="1:25" s="241" customFormat="1" ht="19.5" customHeight="1">
      <c r="A12" s="255" t="s">
        <v>284</v>
      </c>
      <c r="B12" s="771" t="s">
        <v>291</v>
      </c>
      <c r="C12" s="772"/>
      <c r="D12" s="772"/>
      <c r="E12" s="772"/>
      <c r="F12" s="772"/>
      <c r="G12" s="778" t="s">
        <v>247</v>
      </c>
      <c r="H12" s="778"/>
      <c r="I12" s="270" t="s">
        <v>286</v>
      </c>
      <c r="J12" s="587"/>
      <c r="K12" s="270" t="s">
        <v>287</v>
      </c>
      <c r="L12" s="587"/>
      <c r="M12" s="267"/>
      <c r="N12" s="271">
        <f>IF(OR(L12="n",J12=""),0,-50)</f>
        <v>0</v>
      </c>
      <c r="O12" s="272"/>
      <c r="P12" s="268"/>
      <c r="Q12" s="269"/>
      <c r="R12" s="246"/>
      <c r="T12" s="245">
        <f t="shared" si="0"/>
        <v>12.6</v>
      </c>
      <c r="U12" s="245">
        <f t="shared" si="1"/>
        <v>12.7</v>
      </c>
      <c r="V12" s="245">
        <f t="shared" si="2"/>
        <v>12.799999999999999</v>
      </c>
      <c r="W12" s="245">
        <f t="shared" si="3"/>
        <v>12.899999999999999</v>
      </c>
      <c r="X12" s="245">
        <f t="shared" si="4"/>
        <v>12.999999999999998</v>
      </c>
      <c r="Y12" s="14">
        <f t="shared" si="5"/>
        <v>122</v>
      </c>
    </row>
    <row r="13" spans="1:25" s="241" customFormat="1" ht="19.5" customHeight="1">
      <c r="A13" s="255" t="s">
        <v>284</v>
      </c>
      <c r="B13" s="771" t="s">
        <v>292</v>
      </c>
      <c r="C13" s="772"/>
      <c r="D13" s="772"/>
      <c r="E13" s="772"/>
      <c r="F13" s="772"/>
      <c r="G13" s="778" t="s">
        <v>247</v>
      </c>
      <c r="H13" s="778"/>
      <c r="I13" s="270" t="s">
        <v>286</v>
      </c>
      <c r="J13" s="587"/>
      <c r="K13" s="270" t="s">
        <v>287</v>
      </c>
      <c r="L13" s="587"/>
      <c r="M13" s="267"/>
      <c r="N13" s="271">
        <f>IF(OR(L13="n",J13=""),0,-50)</f>
        <v>0</v>
      </c>
      <c r="O13" s="272"/>
      <c r="P13" s="268"/>
      <c r="Q13" s="269"/>
      <c r="R13" s="246"/>
      <c r="T13" s="245">
        <f t="shared" si="0"/>
        <v>13.1</v>
      </c>
      <c r="U13" s="245">
        <f t="shared" si="1"/>
        <v>13.2</v>
      </c>
      <c r="V13" s="245">
        <f t="shared" si="2"/>
        <v>13.299999999999999</v>
      </c>
      <c r="W13" s="245">
        <f t="shared" si="3"/>
        <v>13.399999999999999</v>
      </c>
      <c r="X13" s="245">
        <f t="shared" si="4"/>
        <v>13.499999999999998</v>
      </c>
      <c r="Y13" s="14">
        <f t="shared" si="5"/>
        <v>120</v>
      </c>
    </row>
    <row r="14" spans="1:25" s="241" customFormat="1" ht="19.5" customHeight="1">
      <c r="A14" s="255" t="s">
        <v>284</v>
      </c>
      <c r="B14" s="771" t="s">
        <v>252</v>
      </c>
      <c r="C14" s="772"/>
      <c r="D14" s="772"/>
      <c r="E14" s="772"/>
      <c r="F14" s="772"/>
      <c r="G14" s="778" t="s">
        <v>247</v>
      </c>
      <c r="H14" s="778"/>
      <c r="I14" s="270" t="s">
        <v>286</v>
      </c>
      <c r="J14" s="587"/>
      <c r="K14" s="270" t="s">
        <v>287</v>
      </c>
      <c r="L14" s="587"/>
      <c r="M14" s="267"/>
      <c r="N14" s="271">
        <f>IF(OR(L14="n",J14=""),0,-50)</f>
        <v>0</v>
      </c>
      <c r="O14" s="272"/>
      <c r="P14" s="268"/>
      <c r="Q14" s="269"/>
      <c r="R14" s="246"/>
      <c r="T14" s="245">
        <f t="shared" si="0"/>
        <v>13.6</v>
      </c>
      <c r="U14" s="245">
        <f t="shared" si="1"/>
        <v>13.7</v>
      </c>
      <c r="V14" s="245">
        <f t="shared" si="2"/>
        <v>13.799999999999999</v>
      </c>
      <c r="W14" s="245">
        <f t="shared" si="3"/>
        <v>13.899999999999999</v>
      </c>
      <c r="X14" s="245">
        <f t="shared" si="4"/>
        <v>13.999999999999998</v>
      </c>
      <c r="Y14" s="14">
        <f t="shared" si="5"/>
        <v>118</v>
      </c>
    </row>
    <row r="15" spans="1:25" s="241" customFormat="1" ht="19.5" customHeight="1">
      <c r="A15" s="255" t="s">
        <v>289</v>
      </c>
      <c r="B15" s="771" t="s">
        <v>264</v>
      </c>
      <c r="C15" s="772"/>
      <c r="D15" s="772"/>
      <c r="E15" s="772"/>
      <c r="F15" s="772"/>
      <c r="G15" s="273">
        <v>0</v>
      </c>
      <c r="H15" s="266" t="s">
        <v>256</v>
      </c>
      <c r="I15" s="589"/>
      <c r="J15" s="590"/>
      <c r="K15" s="590"/>
      <c r="L15" s="591"/>
      <c r="M15" s="267"/>
      <c r="N15" s="271">
        <f>IF(OR(I15="n",I15=""),0,-20)</f>
        <v>0</v>
      </c>
      <c r="O15" s="272"/>
      <c r="P15" s="268"/>
      <c r="Q15" s="269"/>
      <c r="R15" s="246"/>
      <c r="T15" s="245">
        <f t="shared" si="0"/>
        <v>14.1</v>
      </c>
      <c r="U15" s="245">
        <f t="shared" si="1"/>
        <v>14.2</v>
      </c>
      <c r="V15" s="245">
        <f t="shared" si="2"/>
        <v>14.299999999999999</v>
      </c>
      <c r="W15" s="245">
        <f t="shared" si="3"/>
        <v>14.399999999999999</v>
      </c>
      <c r="X15" s="245">
        <f t="shared" si="4"/>
        <v>14.499999999999998</v>
      </c>
      <c r="Y15" s="14">
        <f t="shared" si="5"/>
        <v>116</v>
      </c>
    </row>
    <row r="16" spans="1:25" s="241" customFormat="1" ht="19.5" customHeight="1">
      <c r="A16" s="255" t="s">
        <v>284</v>
      </c>
      <c r="B16" s="771" t="s">
        <v>265</v>
      </c>
      <c r="C16" s="772"/>
      <c r="D16" s="772"/>
      <c r="E16" s="772"/>
      <c r="F16" s="772"/>
      <c r="G16" s="273">
        <v>0</v>
      </c>
      <c r="H16" s="266" t="s">
        <v>256</v>
      </c>
      <c r="I16" s="589"/>
      <c r="J16" s="590"/>
      <c r="K16" s="590"/>
      <c r="L16" s="591"/>
      <c r="M16" s="267"/>
      <c r="N16" s="271">
        <f>IF(OR(I16="n",I16=""),0,-50)</f>
        <v>0</v>
      </c>
      <c r="O16" s="272"/>
      <c r="P16" s="268"/>
      <c r="Q16" s="269"/>
      <c r="R16" s="246"/>
      <c r="T16" s="245">
        <f t="shared" si="0"/>
        <v>14.6</v>
      </c>
      <c r="U16" s="245">
        <f t="shared" si="1"/>
        <v>14.7</v>
      </c>
      <c r="V16" s="245">
        <f t="shared" si="2"/>
        <v>14.799999999999999</v>
      </c>
      <c r="W16" s="245">
        <f t="shared" si="3"/>
        <v>14.899999999999999</v>
      </c>
      <c r="X16" s="245">
        <f t="shared" si="4"/>
        <v>14.999999999999998</v>
      </c>
      <c r="Y16" s="14">
        <f t="shared" si="5"/>
        <v>114</v>
      </c>
    </row>
    <row r="17" spans="1:25" s="241" customFormat="1" ht="19.5" customHeight="1">
      <c r="A17" s="255" t="s">
        <v>232</v>
      </c>
      <c r="B17" s="771" t="s">
        <v>293</v>
      </c>
      <c r="C17" s="772"/>
      <c r="D17" s="772"/>
      <c r="E17" s="772"/>
      <c r="F17" s="772"/>
      <c r="G17" s="778" t="s">
        <v>247</v>
      </c>
      <c r="H17" s="778"/>
      <c r="I17" s="270" t="s">
        <v>286</v>
      </c>
      <c r="J17" s="592"/>
      <c r="K17" s="270" t="s">
        <v>287</v>
      </c>
      <c r="L17" s="587"/>
      <c r="M17" s="267"/>
      <c r="N17" s="271">
        <f>IF(L17="n",0,IF(J17="i","szerelés nulla pont",0))</f>
        <v>0</v>
      </c>
      <c r="O17" s="272"/>
      <c r="P17" s="268"/>
      <c r="Q17" s="269"/>
      <c r="R17" s="246"/>
      <c r="T17" s="245">
        <f t="shared" si="0"/>
        <v>15.1</v>
      </c>
      <c r="U17" s="245">
        <f t="shared" si="1"/>
        <v>15.2</v>
      </c>
      <c r="V17" s="245">
        <f t="shared" si="2"/>
        <v>15.299999999999999</v>
      </c>
      <c r="W17" s="245">
        <f t="shared" si="3"/>
        <v>15.399999999999999</v>
      </c>
      <c r="X17" s="245">
        <f t="shared" si="4"/>
        <v>15.499999999999998</v>
      </c>
      <c r="Y17" s="14">
        <f t="shared" si="5"/>
        <v>112</v>
      </c>
    </row>
    <row r="18" spans="1:25" s="241" customFormat="1" ht="19.5" customHeight="1">
      <c r="A18" s="255" t="s">
        <v>281</v>
      </c>
      <c r="B18" s="256"/>
      <c r="C18" s="257"/>
      <c r="D18" s="257"/>
      <c r="E18" s="257"/>
      <c r="F18" s="257"/>
      <c r="G18" s="274"/>
      <c r="H18" s="266"/>
      <c r="I18" s="775" t="s">
        <v>266</v>
      </c>
      <c r="J18" s="783"/>
      <c r="K18" s="783"/>
      <c r="L18" s="783"/>
      <c r="M18" s="784"/>
      <c r="N18" s="785">
        <f>SUM(N8:N17)</f>
        <v>0</v>
      </c>
      <c r="O18" s="783"/>
      <c r="P18" s="783">
        <f>P8</f>
        <v>0</v>
      </c>
      <c r="Q18" s="784"/>
      <c r="R18" s="246"/>
      <c r="T18" s="245">
        <f t="shared" si="0"/>
        <v>15.6</v>
      </c>
      <c r="U18" s="245">
        <f t="shared" si="1"/>
        <v>15.7</v>
      </c>
      <c r="V18" s="245">
        <f t="shared" si="2"/>
        <v>15.799999999999999</v>
      </c>
      <c r="W18" s="245">
        <f t="shared" si="3"/>
        <v>15.899999999999999</v>
      </c>
      <c r="X18" s="245">
        <f t="shared" si="4"/>
        <v>15.999999999999998</v>
      </c>
      <c r="Y18" s="14">
        <f t="shared" si="5"/>
        <v>110</v>
      </c>
    </row>
    <row r="19" spans="1:25" s="241" customFormat="1" ht="19.5" customHeight="1">
      <c r="A19" s="275"/>
      <c r="B19" s="263"/>
      <c r="C19" s="257"/>
      <c r="D19" s="257"/>
      <c r="E19" s="257"/>
      <c r="F19" s="257"/>
      <c r="G19" s="274"/>
      <c r="H19" s="266"/>
      <c r="I19" s="775" t="s">
        <v>267</v>
      </c>
      <c r="J19" s="776"/>
      <c r="K19" s="776"/>
      <c r="L19" s="776"/>
      <c r="M19" s="777"/>
      <c r="N19" s="785">
        <f>P18+N18</f>
        <v>0</v>
      </c>
      <c r="O19" s="783"/>
      <c r="P19" s="783"/>
      <c r="Q19" s="784"/>
      <c r="R19" s="246"/>
      <c r="T19" s="245">
        <f t="shared" si="0"/>
        <v>16.1</v>
      </c>
      <c r="U19" s="245">
        <f t="shared" si="1"/>
        <v>16.2</v>
      </c>
      <c r="V19" s="245">
        <f t="shared" si="2"/>
        <v>16.299999999999997</v>
      </c>
      <c r="W19" s="245">
        <f t="shared" si="3"/>
        <v>16.4</v>
      </c>
      <c r="X19" s="245">
        <f t="shared" si="4"/>
        <v>16.5</v>
      </c>
      <c r="Y19" s="14">
        <f t="shared" si="5"/>
        <v>108</v>
      </c>
    </row>
    <row r="20" spans="1:25" s="241" customFormat="1" ht="12" customHeight="1">
      <c r="A20" s="276" t="s">
        <v>294</v>
      </c>
      <c r="B20" s="220"/>
      <c r="C20" s="277"/>
      <c r="D20" s="277"/>
      <c r="E20" s="277"/>
      <c r="F20" s="277"/>
      <c r="G20" s="278"/>
      <c r="H20" s="278"/>
      <c r="N20" s="224"/>
      <c r="O20" s="224"/>
      <c r="P20" s="224"/>
      <c r="Q20" s="224"/>
      <c r="T20" s="245">
        <f t="shared" si="0"/>
        <v>16.6</v>
      </c>
      <c r="U20" s="245">
        <f t="shared" si="1"/>
        <v>16.7</v>
      </c>
      <c r="V20" s="245">
        <f t="shared" si="2"/>
        <v>16.799999999999997</v>
      </c>
      <c r="W20" s="245">
        <f t="shared" si="3"/>
        <v>16.9</v>
      </c>
      <c r="X20" s="245">
        <f t="shared" si="4"/>
        <v>17</v>
      </c>
      <c r="Y20" s="14">
        <f t="shared" si="5"/>
        <v>106</v>
      </c>
    </row>
    <row r="21" spans="20:25" s="241" customFormat="1" ht="12" customHeight="1">
      <c r="T21" s="245">
        <f t="shared" si="0"/>
        <v>17.1</v>
      </c>
      <c r="U21" s="245">
        <f t="shared" si="1"/>
        <v>17.2</v>
      </c>
      <c r="V21" s="245">
        <f t="shared" si="2"/>
        <v>17.299999999999997</v>
      </c>
      <c r="W21" s="245">
        <f t="shared" si="3"/>
        <v>17.4</v>
      </c>
      <c r="X21" s="245">
        <f t="shared" si="4"/>
        <v>17.5</v>
      </c>
      <c r="Y21" s="14">
        <f t="shared" si="5"/>
        <v>104</v>
      </c>
    </row>
    <row r="22" spans="20:25" s="241" customFormat="1" ht="12" customHeight="1">
      <c r="T22" s="245">
        <f t="shared" si="0"/>
        <v>17.6</v>
      </c>
      <c r="U22" s="245">
        <f t="shared" si="1"/>
        <v>17.7</v>
      </c>
      <c r="V22" s="245">
        <f t="shared" si="2"/>
        <v>17.799999999999997</v>
      </c>
      <c r="W22" s="245">
        <f t="shared" si="3"/>
        <v>17.9</v>
      </c>
      <c r="X22" s="245">
        <f t="shared" si="4"/>
        <v>18</v>
      </c>
      <c r="Y22" s="14">
        <f t="shared" si="5"/>
        <v>102</v>
      </c>
    </row>
    <row r="23" spans="20:25" s="241" customFormat="1" ht="12" customHeight="1">
      <c r="T23" s="245">
        <f t="shared" si="0"/>
        <v>18.1</v>
      </c>
      <c r="U23" s="245">
        <f t="shared" si="1"/>
        <v>18.2</v>
      </c>
      <c r="V23" s="245">
        <f t="shared" si="2"/>
        <v>18.299999999999997</v>
      </c>
      <c r="W23" s="245">
        <f t="shared" si="3"/>
        <v>18.4</v>
      </c>
      <c r="X23" s="245">
        <f t="shared" si="4"/>
        <v>18.5</v>
      </c>
      <c r="Y23" s="14">
        <f t="shared" si="5"/>
        <v>100</v>
      </c>
    </row>
    <row r="24" spans="1:25" s="241" customFormat="1" ht="12" customHeight="1">
      <c r="A24" s="279"/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T24" s="245">
        <f t="shared" si="0"/>
        <v>18.6</v>
      </c>
      <c r="U24" s="245">
        <f t="shared" si="1"/>
        <v>18.7</v>
      </c>
      <c r="V24" s="245">
        <f t="shared" si="2"/>
        <v>18.799999999999997</v>
      </c>
      <c r="W24" s="245">
        <f t="shared" si="3"/>
        <v>18.9</v>
      </c>
      <c r="X24" s="245">
        <f t="shared" si="4"/>
        <v>19</v>
      </c>
      <c r="Y24" s="14">
        <f aca="true" t="shared" si="6" ref="Y24:Y55">Y23-1</f>
        <v>99</v>
      </c>
    </row>
    <row r="25" spans="1:25" s="241" customFormat="1" ht="12" customHeight="1">
      <c r="A25" s="279"/>
      <c r="B25" s="280"/>
      <c r="C25" s="231"/>
      <c r="D25" s="281"/>
      <c r="E25" s="280"/>
      <c r="F25" s="231"/>
      <c r="G25" s="281"/>
      <c r="H25" s="280"/>
      <c r="I25" s="231"/>
      <c r="J25" s="281"/>
      <c r="K25" s="280"/>
      <c r="L25" s="280"/>
      <c r="M25" s="231"/>
      <c r="T25" s="245">
        <f t="shared" si="0"/>
        <v>19.1</v>
      </c>
      <c r="U25" s="245">
        <f t="shared" si="1"/>
        <v>19.2</v>
      </c>
      <c r="V25" s="245">
        <f t="shared" si="2"/>
        <v>19.299999999999997</v>
      </c>
      <c r="W25" s="245">
        <f t="shared" si="3"/>
        <v>19.4</v>
      </c>
      <c r="X25" s="245">
        <f t="shared" si="4"/>
        <v>19.5</v>
      </c>
      <c r="Y25" s="14">
        <f t="shared" si="6"/>
        <v>98</v>
      </c>
    </row>
    <row r="26" spans="1:25" s="241" customFormat="1" ht="12" customHeight="1">
      <c r="A26" s="279"/>
      <c r="B26" s="280"/>
      <c r="C26" s="231"/>
      <c r="D26" s="281"/>
      <c r="E26" s="280"/>
      <c r="F26" s="235"/>
      <c r="G26" s="281"/>
      <c r="H26" s="280"/>
      <c r="I26" s="235"/>
      <c r="J26" s="281"/>
      <c r="K26" s="280"/>
      <c r="L26" s="280"/>
      <c r="M26" s="235"/>
      <c r="T26" s="245">
        <f t="shared" si="0"/>
        <v>19.6</v>
      </c>
      <c r="U26" s="245">
        <f t="shared" si="1"/>
        <v>19.7</v>
      </c>
      <c r="V26" s="245">
        <f t="shared" si="2"/>
        <v>19.799999999999997</v>
      </c>
      <c r="W26" s="245">
        <f t="shared" si="3"/>
        <v>19.9</v>
      </c>
      <c r="X26" s="245">
        <f t="shared" si="4"/>
        <v>20</v>
      </c>
      <c r="Y26" s="14">
        <f t="shared" si="6"/>
        <v>97</v>
      </c>
    </row>
    <row r="27" spans="1:25" s="241" customFormat="1" ht="12" customHeight="1">
      <c r="A27" s="279"/>
      <c r="B27" s="280"/>
      <c r="C27" s="235"/>
      <c r="D27" s="281"/>
      <c r="E27" s="280"/>
      <c r="F27" s="235"/>
      <c r="G27" s="281"/>
      <c r="H27" s="280"/>
      <c r="I27" s="235"/>
      <c r="J27" s="281"/>
      <c r="K27" s="280"/>
      <c r="L27" s="280"/>
      <c r="M27" s="235"/>
      <c r="T27" s="245">
        <f t="shared" si="0"/>
        <v>20.1</v>
      </c>
      <c r="U27" s="245">
        <f t="shared" si="1"/>
        <v>20.2</v>
      </c>
      <c r="V27" s="245">
        <f t="shared" si="2"/>
        <v>20.299999999999997</v>
      </c>
      <c r="W27" s="245">
        <f t="shared" si="3"/>
        <v>20.4</v>
      </c>
      <c r="X27" s="245">
        <f t="shared" si="4"/>
        <v>20.5</v>
      </c>
      <c r="Y27" s="14">
        <f t="shared" si="6"/>
        <v>96</v>
      </c>
    </row>
    <row r="28" spans="1:25" s="241" customFormat="1" ht="12" customHeight="1">
      <c r="A28" s="279"/>
      <c r="B28" s="280"/>
      <c r="C28" s="235"/>
      <c r="D28" s="281"/>
      <c r="E28" s="280"/>
      <c r="F28" s="235"/>
      <c r="G28" s="281"/>
      <c r="H28" s="280"/>
      <c r="I28" s="235"/>
      <c r="J28" s="281"/>
      <c r="L28" s="280"/>
      <c r="M28" s="235"/>
      <c r="T28" s="245">
        <f t="shared" si="0"/>
        <v>20.6</v>
      </c>
      <c r="U28" s="245">
        <f t="shared" si="1"/>
        <v>20.7</v>
      </c>
      <c r="V28" s="245">
        <f t="shared" si="2"/>
        <v>20.799999999999997</v>
      </c>
      <c r="W28" s="245">
        <f t="shared" si="3"/>
        <v>20.9</v>
      </c>
      <c r="X28" s="245">
        <f t="shared" si="4"/>
        <v>21</v>
      </c>
      <c r="Y28" s="14">
        <f t="shared" si="6"/>
        <v>95</v>
      </c>
    </row>
    <row r="29" spans="1:25" s="241" customFormat="1" ht="12" customHeight="1">
      <c r="A29" s="279"/>
      <c r="B29" s="280"/>
      <c r="C29" s="235"/>
      <c r="D29" s="281"/>
      <c r="E29" s="280"/>
      <c r="F29" s="235"/>
      <c r="G29" s="281"/>
      <c r="H29" s="280"/>
      <c r="I29" s="235"/>
      <c r="J29" s="281"/>
      <c r="K29" s="280"/>
      <c r="L29" s="280"/>
      <c r="M29" s="235"/>
      <c r="T29" s="245">
        <f t="shared" si="0"/>
        <v>21.1</v>
      </c>
      <c r="U29" s="245">
        <f t="shared" si="1"/>
        <v>21.2</v>
      </c>
      <c r="V29" s="245">
        <f t="shared" si="2"/>
        <v>21.299999999999997</v>
      </c>
      <c r="W29" s="245">
        <f t="shared" si="3"/>
        <v>21.4</v>
      </c>
      <c r="X29" s="245">
        <f t="shared" si="4"/>
        <v>21.5</v>
      </c>
      <c r="Y29" s="14">
        <f t="shared" si="6"/>
        <v>94</v>
      </c>
    </row>
    <row r="30" spans="1:25" s="241" customFormat="1" ht="12" customHeight="1">
      <c r="A30" s="279"/>
      <c r="B30" s="280"/>
      <c r="C30" s="235"/>
      <c r="D30" s="281"/>
      <c r="E30" s="280"/>
      <c r="F30" s="235"/>
      <c r="G30" s="281"/>
      <c r="H30" s="280"/>
      <c r="I30" s="235"/>
      <c r="J30" s="281"/>
      <c r="K30" s="280"/>
      <c r="L30" s="280"/>
      <c r="M30" s="235"/>
      <c r="T30" s="245">
        <f t="shared" si="0"/>
        <v>21.6</v>
      </c>
      <c r="U30" s="245">
        <f t="shared" si="1"/>
        <v>21.7</v>
      </c>
      <c r="V30" s="245">
        <f t="shared" si="2"/>
        <v>21.799999999999997</v>
      </c>
      <c r="W30" s="245">
        <f t="shared" si="3"/>
        <v>21.9</v>
      </c>
      <c r="X30" s="245">
        <f t="shared" si="4"/>
        <v>22</v>
      </c>
      <c r="Y30" s="14">
        <f t="shared" si="6"/>
        <v>93</v>
      </c>
    </row>
    <row r="31" spans="1:25" s="241" customFormat="1" ht="12" customHeight="1">
      <c r="A31" s="279"/>
      <c r="B31" s="280"/>
      <c r="C31" s="235"/>
      <c r="D31" s="281"/>
      <c r="E31" s="280"/>
      <c r="F31" s="235"/>
      <c r="G31" s="281"/>
      <c r="H31" s="280"/>
      <c r="I31" s="235"/>
      <c r="J31" s="281"/>
      <c r="K31" s="280"/>
      <c r="L31" s="280"/>
      <c r="M31" s="235"/>
      <c r="T31" s="245">
        <f t="shared" si="0"/>
        <v>22.1</v>
      </c>
      <c r="U31" s="245">
        <f t="shared" si="1"/>
        <v>22.2</v>
      </c>
      <c r="V31" s="245">
        <f t="shared" si="2"/>
        <v>22.299999999999997</v>
      </c>
      <c r="W31" s="245">
        <f t="shared" si="3"/>
        <v>22.4</v>
      </c>
      <c r="X31" s="245">
        <f t="shared" si="4"/>
        <v>22.5</v>
      </c>
      <c r="Y31" s="14">
        <f t="shared" si="6"/>
        <v>92</v>
      </c>
    </row>
    <row r="32" spans="1:25" s="241" customFormat="1" ht="12" customHeight="1">
      <c r="A32" s="279"/>
      <c r="B32" s="280"/>
      <c r="C32" s="235"/>
      <c r="D32" s="281"/>
      <c r="E32" s="280"/>
      <c r="F32" s="235"/>
      <c r="G32" s="281"/>
      <c r="H32" s="280"/>
      <c r="I32" s="235"/>
      <c r="J32" s="281"/>
      <c r="K32" s="280"/>
      <c r="L32" s="280"/>
      <c r="M32" s="235"/>
      <c r="T32" s="245">
        <f t="shared" si="0"/>
        <v>22.6</v>
      </c>
      <c r="U32" s="245">
        <f t="shared" si="1"/>
        <v>22.7</v>
      </c>
      <c r="V32" s="245">
        <f t="shared" si="2"/>
        <v>22.799999999999997</v>
      </c>
      <c r="W32" s="245">
        <f t="shared" si="3"/>
        <v>22.9</v>
      </c>
      <c r="X32" s="245">
        <f t="shared" si="4"/>
        <v>23</v>
      </c>
      <c r="Y32" s="14">
        <f t="shared" si="6"/>
        <v>91</v>
      </c>
    </row>
    <row r="33" spans="1:25" s="241" customFormat="1" ht="12" customHeight="1">
      <c r="A33" s="279"/>
      <c r="B33" s="280"/>
      <c r="C33" s="235"/>
      <c r="D33" s="281"/>
      <c r="E33" s="280"/>
      <c r="F33" s="235"/>
      <c r="G33" s="281"/>
      <c r="H33" s="280"/>
      <c r="I33" s="235"/>
      <c r="J33" s="281"/>
      <c r="K33" s="280"/>
      <c r="L33" s="280"/>
      <c r="M33" s="235"/>
      <c r="T33" s="245">
        <f t="shared" si="0"/>
        <v>23.1</v>
      </c>
      <c r="U33" s="245">
        <f t="shared" si="1"/>
        <v>23.2</v>
      </c>
      <c r="V33" s="245">
        <f t="shared" si="2"/>
        <v>23.299999999999997</v>
      </c>
      <c r="W33" s="245">
        <f t="shared" si="3"/>
        <v>23.4</v>
      </c>
      <c r="X33" s="245">
        <f t="shared" si="4"/>
        <v>23.5</v>
      </c>
      <c r="Y33" s="14">
        <f t="shared" si="6"/>
        <v>90</v>
      </c>
    </row>
    <row r="34" spans="1:25" s="241" customFormat="1" ht="12" customHeight="1">
      <c r="A34" s="279"/>
      <c r="B34" s="280"/>
      <c r="C34" s="235"/>
      <c r="D34" s="281"/>
      <c r="E34" s="280"/>
      <c r="F34" s="235"/>
      <c r="G34" s="281"/>
      <c r="H34" s="280"/>
      <c r="I34" s="235"/>
      <c r="J34" s="281"/>
      <c r="K34" s="280"/>
      <c r="L34" s="280"/>
      <c r="M34" s="235"/>
      <c r="T34" s="245">
        <f aca="true" t="shared" si="7" ref="T34:T65">T33+0.5</f>
        <v>23.6</v>
      </c>
      <c r="U34" s="245">
        <f aca="true" t="shared" si="8" ref="U34:U65">U33+0.5</f>
        <v>23.7</v>
      </c>
      <c r="V34" s="245">
        <f aca="true" t="shared" si="9" ref="V34:V65">V33+0.5</f>
        <v>23.799999999999997</v>
      </c>
      <c r="W34" s="245">
        <f aca="true" t="shared" si="10" ref="W34:W65">W33+0.5</f>
        <v>23.9</v>
      </c>
      <c r="X34" s="245">
        <f aca="true" t="shared" si="11" ref="X34:X65">X33+0.5</f>
        <v>24</v>
      </c>
      <c r="Y34" s="14">
        <f t="shared" si="6"/>
        <v>89</v>
      </c>
    </row>
    <row r="35" spans="1:25" s="241" customFormat="1" ht="12" customHeight="1">
      <c r="A35" s="279"/>
      <c r="B35" s="280"/>
      <c r="C35" s="235"/>
      <c r="D35" s="281"/>
      <c r="E35" s="280"/>
      <c r="F35" s="235"/>
      <c r="G35" s="281"/>
      <c r="H35" s="280"/>
      <c r="I35" s="235"/>
      <c r="J35" s="281"/>
      <c r="K35" s="280"/>
      <c r="L35" s="280"/>
      <c r="M35" s="235"/>
      <c r="T35" s="245">
        <f t="shared" si="7"/>
        <v>24.1</v>
      </c>
      <c r="U35" s="245">
        <f t="shared" si="8"/>
        <v>24.2</v>
      </c>
      <c r="V35" s="245">
        <f t="shared" si="9"/>
        <v>24.299999999999997</v>
      </c>
      <c r="W35" s="245">
        <f t="shared" si="10"/>
        <v>24.4</v>
      </c>
      <c r="X35" s="245">
        <f t="shared" si="11"/>
        <v>24.5</v>
      </c>
      <c r="Y35" s="14">
        <f t="shared" si="6"/>
        <v>88</v>
      </c>
    </row>
    <row r="36" spans="1:25" s="241" customFormat="1" ht="12" customHeight="1">
      <c r="A36" s="279"/>
      <c r="B36" s="280"/>
      <c r="C36" s="235"/>
      <c r="D36" s="281"/>
      <c r="E36" s="280"/>
      <c r="F36" s="235"/>
      <c r="G36" s="281"/>
      <c r="H36" s="280"/>
      <c r="I36" s="235"/>
      <c r="J36" s="281"/>
      <c r="K36" s="280"/>
      <c r="L36" s="280"/>
      <c r="M36" s="235"/>
      <c r="T36" s="245">
        <f t="shared" si="7"/>
        <v>24.6</v>
      </c>
      <c r="U36" s="245">
        <f t="shared" si="8"/>
        <v>24.7</v>
      </c>
      <c r="V36" s="245">
        <f t="shared" si="9"/>
        <v>24.799999999999997</v>
      </c>
      <c r="W36" s="245">
        <f t="shared" si="10"/>
        <v>24.9</v>
      </c>
      <c r="X36" s="245">
        <f t="shared" si="11"/>
        <v>25</v>
      </c>
      <c r="Y36" s="14">
        <f t="shared" si="6"/>
        <v>87</v>
      </c>
    </row>
    <row r="37" spans="1:25" s="241" customFormat="1" ht="12" customHeight="1">
      <c r="A37" s="279"/>
      <c r="B37" s="280"/>
      <c r="C37" s="235"/>
      <c r="D37" s="281"/>
      <c r="E37" s="280"/>
      <c r="F37" s="235"/>
      <c r="G37" s="281"/>
      <c r="H37" s="280"/>
      <c r="I37" s="235"/>
      <c r="J37" s="281"/>
      <c r="K37" s="280"/>
      <c r="L37" s="280"/>
      <c r="M37" s="235"/>
      <c r="T37" s="245">
        <f t="shared" si="7"/>
        <v>25.1</v>
      </c>
      <c r="U37" s="245">
        <f t="shared" si="8"/>
        <v>25.2</v>
      </c>
      <c r="V37" s="245">
        <f t="shared" si="9"/>
        <v>25.299999999999997</v>
      </c>
      <c r="W37" s="245">
        <f t="shared" si="10"/>
        <v>25.4</v>
      </c>
      <c r="X37" s="245">
        <f t="shared" si="11"/>
        <v>25.5</v>
      </c>
      <c r="Y37" s="14">
        <f t="shared" si="6"/>
        <v>86</v>
      </c>
    </row>
    <row r="38" spans="1:25" s="241" customFormat="1" ht="12" customHeight="1">
      <c r="A38" s="279"/>
      <c r="B38" s="280"/>
      <c r="C38" s="235"/>
      <c r="D38" s="281"/>
      <c r="E38" s="280"/>
      <c r="F38" s="235"/>
      <c r="G38" s="281"/>
      <c r="H38" s="280"/>
      <c r="I38" s="235"/>
      <c r="J38" s="281"/>
      <c r="K38" s="280"/>
      <c r="L38" s="280"/>
      <c r="M38" s="235"/>
      <c r="T38" s="245">
        <f t="shared" si="7"/>
        <v>25.6</v>
      </c>
      <c r="U38" s="245">
        <f t="shared" si="8"/>
        <v>25.7</v>
      </c>
      <c r="V38" s="245">
        <f t="shared" si="9"/>
        <v>25.799999999999997</v>
      </c>
      <c r="W38" s="245">
        <f t="shared" si="10"/>
        <v>25.9</v>
      </c>
      <c r="X38" s="245">
        <f t="shared" si="11"/>
        <v>26</v>
      </c>
      <c r="Y38" s="14">
        <f t="shared" si="6"/>
        <v>85</v>
      </c>
    </row>
    <row r="39" spans="1:25" s="241" customFormat="1" ht="12" customHeight="1">
      <c r="A39" s="279"/>
      <c r="B39" s="280"/>
      <c r="C39" s="235"/>
      <c r="D39" s="281"/>
      <c r="E39" s="280"/>
      <c r="F39" s="235"/>
      <c r="G39" s="281"/>
      <c r="H39" s="280"/>
      <c r="I39" s="235"/>
      <c r="J39" s="281"/>
      <c r="K39" s="280"/>
      <c r="L39" s="280"/>
      <c r="M39" s="235"/>
      <c r="T39" s="245">
        <f t="shared" si="7"/>
        <v>26.1</v>
      </c>
      <c r="U39" s="245">
        <f t="shared" si="8"/>
        <v>26.2</v>
      </c>
      <c r="V39" s="245">
        <f t="shared" si="9"/>
        <v>26.299999999999997</v>
      </c>
      <c r="W39" s="245">
        <f t="shared" si="10"/>
        <v>26.4</v>
      </c>
      <c r="X39" s="245">
        <f t="shared" si="11"/>
        <v>26.5</v>
      </c>
      <c r="Y39" s="14">
        <f t="shared" si="6"/>
        <v>84</v>
      </c>
    </row>
    <row r="40" spans="1:25" s="241" customFormat="1" ht="12" customHeight="1">
      <c r="A40" s="279"/>
      <c r="B40" s="280"/>
      <c r="C40" s="235"/>
      <c r="D40" s="281"/>
      <c r="E40" s="280"/>
      <c r="F40" s="235"/>
      <c r="G40" s="281"/>
      <c r="H40" s="280"/>
      <c r="I40" s="235"/>
      <c r="J40" s="282"/>
      <c r="K40" s="283"/>
      <c r="L40" s="283"/>
      <c r="M40" s="284"/>
      <c r="T40" s="245">
        <f t="shared" si="7"/>
        <v>26.6</v>
      </c>
      <c r="U40" s="245">
        <f t="shared" si="8"/>
        <v>26.7</v>
      </c>
      <c r="V40" s="245">
        <f t="shared" si="9"/>
        <v>26.799999999999997</v>
      </c>
      <c r="W40" s="245">
        <f t="shared" si="10"/>
        <v>26.9</v>
      </c>
      <c r="X40" s="245">
        <f t="shared" si="11"/>
        <v>27</v>
      </c>
      <c r="Y40" s="14">
        <f t="shared" si="6"/>
        <v>83</v>
      </c>
    </row>
    <row r="41" spans="1:25" s="241" customFormat="1" ht="12" customHeight="1">
      <c r="A41" s="279"/>
      <c r="B41" s="280"/>
      <c r="C41" s="235"/>
      <c r="D41" s="281"/>
      <c r="E41" s="280"/>
      <c r="F41" s="235"/>
      <c r="G41" s="281"/>
      <c r="H41" s="280"/>
      <c r="I41" s="235"/>
      <c r="J41" s="282"/>
      <c r="K41" s="283"/>
      <c r="L41" s="283"/>
      <c r="M41" s="284"/>
      <c r="T41" s="245">
        <f t="shared" si="7"/>
        <v>27.1</v>
      </c>
      <c r="U41" s="245">
        <f t="shared" si="8"/>
        <v>27.2</v>
      </c>
      <c r="V41" s="245">
        <f t="shared" si="9"/>
        <v>27.299999999999997</v>
      </c>
      <c r="W41" s="245">
        <f t="shared" si="10"/>
        <v>27.4</v>
      </c>
      <c r="X41" s="245">
        <f t="shared" si="11"/>
        <v>27.5</v>
      </c>
      <c r="Y41" s="14">
        <f t="shared" si="6"/>
        <v>82</v>
      </c>
    </row>
    <row r="42" spans="1:25" s="241" customFormat="1" ht="12" customHeight="1">
      <c r="A42" s="279"/>
      <c r="B42" s="280"/>
      <c r="C42" s="235"/>
      <c r="D42" s="281"/>
      <c r="E42" s="280"/>
      <c r="F42" s="235"/>
      <c r="G42" s="281"/>
      <c r="H42" s="280"/>
      <c r="I42" s="235"/>
      <c r="J42" s="282"/>
      <c r="K42" s="283"/>
      <c r="L42" s="283"/>
      <c r="M42" s="284"/>
      <c r="T42" s="245">
        <f t="shared" si="7"/>
        <v>27.6</v>
      </c>
      <c r="U42" s="245">
        <f t="shared" si="8"/>
        <v>27.7</v>
      </c>
      <c r="V42" s="245">
        <f t="shared" si="9"/>
        <v>27.799999999999997</v>
      </c>
      <c r="W42" s="245">
        <f t="shared" si="10"/>
        <v>27.9</v>
      </c>
      <c r="X42" s="245">
        <f t="shared" si="11"/>
        <v>28</v>
      </c>
      <c r="Y42" s="14">
        <f t="shared" si="6"/>
        <v>81</v>
      </c>
    </row>
    <row r="43" spans="1:25" s="241" customFormat="1" ht="12" customHeight="1">
      <c r="A43" s="279"/>
      <c r="B43" s="280"/>
      <c r="C43" s="235"/>
      <c r="D43" s="281"/>
      <c r="E43" s="280"/>
      <c r="F43" s="235"/>
      <c r="G43" s="281"/>
      <c r="H43" s="280"/>
      <c r="I43" s="235"/>
      <c r="J43" s="282"/>
      <c r="K43" s="283"/>
      <c r="L43" s="283"/>
      <c r="M43" s="284"/>
      <c r="T43" s="245">
        <f t="shared" si="7"/>
        <v>28.1</v>
      </c>
      <c r="U43" s="245">
        <f t="shared" si="8"/>
        <v>28.2</v>
      </c>
      <c r="V43" s="245">
        <f t="shared" si="9"/>
        <v>28.299999999999997</v>
      </c>
      <c r="W43" s="245">
        <f t="shared" si="10"/>
        <v>28.4</v>
      </c>
      <c r="X43" s="245">
        <f t="shared" si="11"/>
        <v>28.5</v>
      </c>
      <c r="Y43" s="14">
        <f t="shared" si="6"/>
        <v>80</v>
      </c>
    </row>
    <row r="44" spans="1:25" s="241" customFormat="1" ht="12" customHeight="1">
      <c r="A44" s="279"/>
      <c r="B44" s="280"/>
      <c r="C44" s="235"/>
      <c r="D44" s="281"/>
      <c r="E44" s="280"/>
      <c r="F44" s="235"/>
      <c r="G44" s="281"/>
      <c r="H44" s="280"/>
      <c r="I44" s="235"/>
      <c r="J44" s="282"/>
      <c r="K44" s="283"/>
      <c r="L44" s="283"/>
      <c r="M44" s="284"/>
      <c r="T44" s="245">
        <f t="shared" si="7"/>
        <v>28.6</v>
      </c>
      <c r="U44" s="245">
        <f t="shared" si="8"/>
        <v>28.7</v>
      </c>
      <c r="V44" s="245">
        <f t="shared" si="9"/>
        <v>28.799999999999997</v>
      </c>
      <c r="W44" s="245">
        <f t="shared" si="10"/>
        <v>28.9</v>
      </c>
      <c r="X44" s="245">
        <f t="shared" si="11"/>
        <v>29</v>
      </c>
      <c r="Y44" s="14">
        <f t="shared" si="6"/>
        <v>79</v>
      </c>
    </row>
    <row r="45" spans="1:25" s="241" customFormat="1" ht="12" customHeight="1">
      <c r="A45" s="279"/>
      <c r="B45" s="280"/>
      <c r="C45" s="235"/>
      <c r="D45" s="281"/>
      <c r="E45" s="280"/>
      <c r="F45" s="235"/>
      <c r="G45" s="281"/>
      <c r="H45" s="280"/>
      <c r="I45" s="235"/>
      <c r="J45" s="282"/>
      <c r="K45" s="283"/>
      <c r="L45" s="283"/>
      <c r="M45" s="284"/>
      <c r="T45" s="245">
        <f t="shared" si="7"/>
        <v>29.1</v>
      </c>
      <c r="U45" s="245">
        <f t="shared" si="8"/>
        <v>29.2</v>
      </c>
      <c r="V45" s="245">
        <f t="shared" si="9"/>
        <v>29.299999999999997</v>
      </c>
      <c r="W45" s="245">
        <f t="shared" si="10"/>
        <v>29.4</v>
      </c>
      <c r="X45" s="245">
        <f t="shared" si="11"/>
        <v>29.5</v>
      </c>
      <c r="Y45" s="14">
        <f t="shared" si="6"/>
        <v>78</v>
      </c>
    </row>
    <row r="46" spans="1:25" s="241" customFormat="1" ht="12" customHeight="1">
      <c r="A46" s="279"/>
      <c r="B46" s="280"/>
      <c r="C46" s="235"/>
      <c r="D46" s="281"/>
      <c r="E46" s="280"/>
      <c r="F46" s="235"/>
      <c r="G46" s="281"/>
      <c r="H46" s="280"/>
      <c r="I46" s="235"/>
      <c r="J46" s="282"/>
      <c r="K46" s="283"/>
      <c r="L46" s="283"/>
      <c r="M46" s="284"/>
      <c r="T46" s="245">
        <f t="shared" si="7"/>
        <v>29.6</v>
      </c>
      <c r="U46" s="245">
        <f t="shared" si="8"/>
        <v>29.7</v>
      </c>
      <c r="V46" s="245">
        <f t="shared" si="9"/>
        <v>29.799999999999997</v>
      </c>
      <c r="W46" s="245">
        <f t="shared" si="10"/>
        <v>29.9</v>
      </c>
      <c r="X46" s="245">
        <f t="shared" si="11"/>
        <v>30</v>
      </c>
      <c r="Y46" s="14">
        <f t="shared" si="6"/>
        <v>77</v>
      </c>
    </row>
    <row r="47" spans="1:25" s="241" customFormat="1" ht="12" customHeight="1">
      <c r="A47" s="279"/>
      <c r="B47" s="280"/>
      <c r="C47" s="235"/>
      <c r="D47" s="281"/>
      <c r="E47" s="280"/>
      <c r="F47" s="235"/>
      <c r="G47" s="281"/>
      <c r="H47" s="280"/>
      <c r="I47" s="235"/>
      <c r="J47" s="282"/>
      <c r="K47" s="283"/>
      <c r="L47" s="283"/>
      <c r="M47" s="284"/>
      <c r="T47" s="245">
        <f t="shared" si="7"/>
        <v>30.1</v>
      </c>
      <c r="U47" s="245">
        <f t="shared" si="8"/>
        <v>30.2</v>
      </c>
      <c r="V47" s="245">
        <f t="shared" si="9"/>
        <v>30.299999999999997</v>
      </c>
      <c r="W47" s="245">
        <f t="shared" si="10"/>
        <v>30.4</v>
      </c>
      <c r="X47" s="245">
        <f t="shared" si="11"/>
        <v>30.5</v>
      </c>
      <c r="Y47" s="14">
        <f t="shared" si="6"/>
        <v>76</v>
      </c>
    </row>
    <row r="48" spans="1:25" s="241" customFormat="1" ht="12" customHeight="1">
      <c r="A48" s="279"/>
      <c r="B48" s="280"/>
      <c r="C48" s="235"/>
      <c r="D48" s="281"/>
      <c r="E48" s="280"/>
      <c r="F48" s="235"/>
      <c r="G48" s="281"/>
      <c r="H48" s="280"/>
      <c r="I48" s="235"/>
      <c r="J48" s="282"/>
      <c r="K48" s="283"/>
      <c r="L48" s="283"/>
      <c r="M48" s="284"/>
      <c r="T48" s="245">
        <f t="shared" si="7"/>
        <v>30.6</v>
      </c>
      <c r="U48" s="245">
        <f t="shared" si="8"/>
        <v>30.7</v>
      </c>
      <c r="V48" s="245">
        <f t="shared" si="9"/>
        <v>30.799999999999997</v>
      </c>
      <c r="W48" s="245">
        <f t="shared" si="10"/>
        <v>30.9</v>
      </c>
      <c r="X48" s="245">
        <f t="shared" si="11"/>
        <v>31</v>
      </c>
      <c r="Y48" s="14">
        <f t="shared" si="6"/>
        <v>75</v>
      </c>
    </row>
    <row r="49" spans="1:25" s="241" customFormat="1" ht="12" customHeight="1">
      <c r="A49" s="285"/>
      <c r="B49" s="286"/>
      <c r="C49" s="232"/>
      <c r="D49" s="281"/>
      <c r="E49" s="280"/>
      <c r="F49" s="235"/>
      <c r="G49" s="281"/>
      <c r="H49" s="280"/>
      <c r="I49" s="235"/>
      <c r="J49" s="282"/>
      <c r="K49" s="283"/>
      <c r="L49" s="283"/>
      <c r="M49" s="284"/>
      <c r="T49" s="245">
        <f t="shared" si="7"/>
        <v>31.1</v>
      </c>
      <c r="U49" s="245">
        <f t="shared" si="8"/>
        <v>31.2</v>
      </c>
      <c r="V49" s="245">
        <f t="shared" si="9"/>
        <v>31.299999999999997</v>
      </c>
      <c r="W49" s="245">
        <f t="shared" si="10"/>
        <v>31.4</v>
      </c>
      <c r="X49" s="245">
        <f t="shared" si="11"/>
        <v>31.5</v>
      </c>
      <c r="Y49" s="14">
        <f t="shared" si="6"/>
        <v>74</v>
      </c>
    </row>
    <row r="50" spans="1:25" s="241" customFormat="1" ht="12" customHeight="1">
      <c r="A50" s="279"/>
      <c r="B50" s="280"/>
      <c r="C50" s="235"/>
      <c r="D50" s="281"/>
      <c r="E50" s="280"/>
      <c r="F50" s="235"/>
      <c r="G50" s="281"/>
      <c r="H50" s="280"/>
      <c r="I50" s="235"/>
      <c r="J50" s="282"/>
      <c r="K50" s="283"/>
      <c r="L50" s="283"/>
      <c r="M50" s="284"/>
      <c r="T50" s="245">
        <f t="shared" si="7"/>
        <v>31.6</v>
      </c>
      <c r="U50" s="245">
        <f t="shared" si="8"/>
        <v>31.7</v>
      </c>
      <c r="V50" s="245">
        <f t="shared" si="9"/>
        <v>31.799999999999997</v>
      </c>
      <c r="W50" s="245">
        <f t="shared" si="10"/>
        <v>31.9</v>
      </c>
      <c r="X50" s="245">
        <f t="shared" si="11"/>
        <v>32</v>
      </c>
      <c r="Y50" s="14">
        <f t="shared" si="6"/>
        <v>73</v>
      </c>
    </row>
    <row r="51" spans="1:25" s="241" customFormat="1" ht="12" customHeight="1">
      <c r="A51" s="279"/>
      <c r="B51" s="280"/>
      <c r="C51" s="235"/>
      <c r="D51" s="281"/>
      <c r="E51" s="280"/>
      <c r="F51" s="235"/>
      <c r="G51" s="281"/>
      <c r="H51" s="280"/>
      <c r="I51" s="235"/>
      <c r="J51" s="282"/>
      <c r="K51" s="283"/>
      <c r="L51" s="283"/>
      <c r="M51" s="284"/>
      <c r="T51" s="245">
        <f t="shared" si="7"/>
        <v>32.1</v>
      </c>
      <c r="U51" s="245">
        <f t="shared" si="8"/>
        <v>32.2</v>
      </c>
      <c r="V51" s="245">
        <f t="shared" si="9"/>
        <v>32.3</v>
      </c>
      <c r="W51" s="245">
        <f t="shared" si="10"/>
        <v>32.4</v>
      </c>
      <c r="X51" s="245">
        <f t="shared" si="11"/>
        <v>32.5</v>
      </c>
      <c r="Y51" s="14">
        <f t="shared" si="6"/>
        <v>72</v>
      </c>
    </row>
    <row r="52" spans="1:25" s="241" customFormat="1" ht="12" customHeight="1">
      <c r="A52" s="279"/>
      <c r="B52" s="280"/>
      <c r="C52" s="235"/>
      <c r="D52" s="281"/>
      <c r="E52" s="280"/>
      <c r="F52" s="235"/>
      <c r="G52" s="281"/>
      <c r="H52" s="280"/>
      <c r="I52" s="235"/>
      <c r="J52" s="282"/>
      <c r="K52" s="283"/>
      <c r="L52" s="283"/>
      <c r="M52" s="284"/>
      <c r="T52" s="245">
        <f t="shared" si="7"/>
        <v>32.6</v>
      </c>
      <c r="U52" s="245">
        <f t="shared" si="8"/>
        <v>32.7</v>
      </c>
      <c r="V52" s="245">
        <f t="shared" si="9"/>
        <v>32.8</v>
      </c>
      <c r="W52" s="245">
        <f t="shared" si="10"/>
        <v>32.9</v>
      </c>
      <c r="X52" s="245">
        <f t="shared" si="11"/>
        <v>33</v>
      </c>
      <c r="Y52" s="14">
        <f t="shared" si="6"/>
        <v>71</v>
      </c>
    </row>
    <row r="53" spans="1:25" s="241" customFormat="1" ht="12" customHeight="1">
      <c r="A53" s="279"/>
      <c r="B53" s="280"/>
      <c r="C53" s="235"/>
      <c r="D53" s="281"/>
      <c r="E53" s="280"/>
      <c r="F53" s="235"/>
      <c r="G53" s="281"/>
      <c r="H53" s="280"/>
      <c r="I53" s="235"/>
      <c r="J53" s="283"/>
      <c r="K53" s="283"/>
      <c r="L53" s="283"/>
      <c r="M53" s="284"/>
      <c r="T53" s="245">
        <f t="shared" si="7"/>
        <v>33.1</v>
      </c>
      <c r="U53" s="245">
        <f t="shared" si="8"/>
        <v>33.2</v>
      </c>
      <c r="V53" s="245">
        <f t="shared" si="9"/>
        <v>33.3</v>
      </c>
      <c r="W53" s="245">
        <f t="shared" si="10"/>
        <v>33.4</v>
      </c>
      <c r="X53" s="245">
        <f t="shared" si="11"/>
        <v>33.5</v>
      </c>
      <c r="Y53" s="14">
        <f t="shared" si="6"/>
        <v>70</v>
      </c>
    </row>
    <row r="54" spans="1:25" s="241" customFormat="1" ht="12" customHeight="1">
      <c r="A54" s="279"/>
      <c r="B54" s="280"/>
      <c r="C54" s="235"/>
      <c r="D54" s="281"/>
      <c r="E54" s="280"/>
      <c r="F54" s="235"/>
      <c r="G54" s="281"/>
      <c r="H54" s="280"/>
      <c r="I54" s="235"/>
      <c r="T54" s="245">
        <f t="shared" si="7"/>
        <v>33.6</v>
      </c>
      <c r="U54" s="245">
        <f t="shared" si="8"/>
        <v>33.7</v>
      </c>
      <c r="V54" s="245">
        <f t="shared" si="9"/>
        <v>33.8</v>
      </c>
      <c r="W54" s="245">
        <f t="shared" si="10"/>
        <v>33.9</v>
      </c>
      <c r="X54" s="245">
        <f t="shared" si="11"/>
        <v>34</v>
      </c>
      <c r="Y54" s="14">
        <f t="shared" si="6"/>
        <v>69</v>
      </c>
    </row>
    <row r="55" spans="1:25" s="241" customFormat="1" ht="12.75" customHeight="1">
      <c r="A55" s="279"/>
      <c r="B55" s="280"/>
      <c r="C55" s="235"/>
      <c r="D55" s="281"/>
      <c r="E55" s="280"/>
      <c r="F55" s="235"/>
      <c r="G55" s="281"/>
      <c r="H55" s="280"/>
      <c r="I55" s="235"/>
      <c r="T55" s="245">
        <f t="shared" si="7"/>
        <v>34.1</v>
      </c>
      <c r="U55" s="245">
        <f t="shared" si="8"/>
        <v>34.2</v>
      </c>
      <c r="V55" s="245">
        <f t="shared" si="9"/>
        <v>34.3</v>
      </c>
      <c r="W55" s="245">
        <f t="shared" si="10"/>
        <v>34.4</v>
      </c>
      <c r="X55" s="245">
        <f t="shared" si="11"/>
        <v>34.5</v>
      </c>
      <c r="Y55" s="14">
        <f t="shared" si="6"/>
        <v>68</v>
      </c>
    </row>
    <row r="56" spans="1:25" s="241" customFormat="1" ht="12" customHeight="1">
      <c r="A56" s="279"/>
      <c r="B56" s="280"/>
      <c r="C56" s="235"/>
      <c r="D56" s="281"/>
      <c r="E56" s="280"/>
      <c r="F56" s="235"/>
      <c r="G56" s="281"/>
      <c r="H56" s="280"/>
      <c r="I56" s="235"/>
      <c r="T56" s="245">
        <f t="shared" si="7"/>
        <v>34.6</v>
      </c>
      <c r="U56" s="245">
        <f t="shared" si="8"/>
        <v>34.7</v>
      </c>
      <c r="V56" s="245">
        <f t="shared" si="9"/>
        <v>34.8</v>
      </c>
      <c r="W56" s="245">
        <f t="shared" si="10"/>
        <v>34.9</v>
      </c>
      <c r="X56" s="245">
        <f t="shared" si="11"/>
        <v>35</v>
      </c>
      <c r="Y56" s="14">
        <f aca="true" t="shared" si="12" ref="Y56:Y87">Y55-1</f>
        <v>67</v>
      </c>
    </row>
    <row r="57" spans="1:25" s="241" customFormat="1" ht="12" customHeight="1">
      <c r="A57" s="279"/>
      <c r="B57" s="280"/>
      <c r="C57" s="235"/>
      <c r="D57" s="281"/>
      <c r="E57" s="280"/>
      <c r="F57" s="235"/>
      <c r="G57" s="281"/>
      <c r="H57" s="280"/>
      <c r="I57" s="235"/>
      <c r="T57" s="245">
        <f t="shared" si="7"/>
        <v>35.1</v>
      </c>
      <c r="U57" s="245">
        <f t="shared" si="8"/>
        <v>35.2</v>
      </c>
      <c r="V57" s="245">
        <f t="shared" si="9"/>
        <v>35.3</v>
      </c>
      <c r="W57" s="245">
        <f t="shared" si="10"/>
        <v>35.4</v>
      </c>
      <c r="X57" s="245">
        <f t="shared" si="11"/>
        <v>35.5</v>
      </c>
      <c r="Y57" s="14">
        <f t="shared" si="12"/>
        <v>66</v>
      </c>
    </row>
    <row r="58" spans="20:25" s="241" customFormat="1" ht="12" customHeight="1">
      <c r="T58" s="245">
        <f t="shared" si="7"/>
        <v>35.6</v>
      </c>
      <c r="U58" s="245">
        <f t="shared" si="8"/>
        <v>35.7</v>
      </c>
      <c r="V58" s="245">
        <f t="shared" si="9"/>
        <v>35.8</v>
      </c>
      <c r="W58" s="245">
        <f t="shared" si="10"/>
        <v>35.9</v>
      </c>
      <c r="X58" s="245">
        <f t="shared" si="11"/>
        <v>36</v>
      </c>
      <c r="Y58" s="14">
        <f t="shared" si="12"/>
        <v>65</v>
      </c>
    </row>
    <row r="59" spans="20:25" s="241" customFormat="1" ht="12" customHeight="1">
      <c r="T59" s="245">
        <f t="shared" si="7"/>
        <v>36.1</v>
      </c>
      <c r="U59" s="245">
        <f t="shared" si="8"/>
        <v>36.2</v>
      </c>
      <c r="V59" s="245">
        <f t="shared" si="9"/>
        <v>36.3</v>
      </c>
      <c r="W59" s="245">
        <f t="shared" si="10"/>
        <v>36.4</v>
      </c>
      <c r="X59" s="245">
        <f t="shared" si="11"/>
        <v>36.5</v>
      </c>
      <c r="Y59" s="14">
        <f t="shared" si="12"/>
        <v>64</v>
      </c>
    </row>
    <row r="60" spans="20:25" s="241" customFormat="1" ht="12" customHeight="1">
      <c r="T60" s="245">
        <f t="shared" si="7"/>
        <v>36.6</v>
      </c>
      <c r="U60" s="245">
        <f t="shared" si="8"/>
        <v>36.7</v>
      </c>
      <c r="V60" s="245">
        <f t="shared" si="9"/>
        <v>36.8</v>
      </c>
      <c r="W60" s="245">
        <f t="shared" si="10"/>
        <v>36.9</v>
      </c>
      <c r="X60" s="245">
        <f t="shared" si="11"/>
        <v>37</v>
      </c>
      <c r="Y60" s="14">
        <f t="shared" si="12"/>
        <v>63</v>
      </c>
    </row>
    <row r="61" spans="20:25" s="241" customFormat="1" ht="12" customHeight="1">
      <c r="T61" s="245">
        <f t="shared" si="7"/>
        <v>37.1</v>
      </c>
      <c r="U61" s="245">
        <f t="shared" si="8"/>
        <v>37.2</v>
      </c>
      <c r="V61" s="245">
        <f t="shared" si="9"/>
        <v>37.3</v>
      </c>
      <c r="W61" s="245">
        <f t="shared" si="10"/>
        <v>37.4</v>
      </c>
      <c r="X61" s="245">
        <f t="shared" si="11"/>
        <v>37.5</v>
      </c>
      <c r="Y61" s="14">
        <f t="shared" si="12"/>
        <v>62</v>
      </c>
    </row>
    <row r="62" spans="20:25" s="241" customFormat="1" ht="12" customHeight="1">
      <c r="T62" s="245">
        <f t="shared" si="7"/>
        <v>37.6</v>
      </c>
      <c r="U62" s="245">
        <f t="shared" si="8"/>
        <v>37.7</v>
      </c>
      <c r="V62" s="245">
        <f t="shared" si="9"/>
        <v>37.8</v>
      </c>
      <c r="W62" s="245">
        <f t="shared" si="10"/>
        <v>37.9</v>
      </c>
      <c r="X62" s="245">
        <f t="shared" si="11"/>
        <v>38</v>
      </c>
      <c r="Y62" s="14">
        <f t="shared" si="12"/>
        <v>61</v>
      </c>
    </row>
    <row r="63" spans="20:25" s="241" customFormat="1" ht="12" customHeight="1">
      <c r="T63" s="245">
        <f t="shared" si="7"/>
        <v>38.1</v>
      </c>
      <c r="U63" s="245">
        <f t="shared" si="8"/>
        <v>38.2</v>
      </c>
      <c r="V63" s="245">
        <f t="shared" si="9"/>
        <v>38.3</v>
      </c>
      <c r="W63" s="245">
        <f t="shared" si="10"/>
        <v>38.4</v>
      </c>
      <c r="X63" s="245">
        <f t="shared" si="11"/>
        <v>38.5</v>
      </c>
      <c r="Y63" s="14">
        <f t="shared" si="12"/>
        <v>60</v>
      </c>
    </row>
    <row r="64" spans="20:25" s="241" customFormat="1" ht="12" customHeight="1">
      <c r="T64" s="245">
        <f t="shared" si="7"/>
        <v>38.6</v>
      </c>
      <c r="U64" s="245">
        <f t="shared" si="8"/>
        <v>38.7</v>
      </c>
      <c r="V64" s="245">
        <f t="shared" si="9"/>
        <v>38.8</v>
      </c>
      <c r="W64" s="245">
        <f t="shared" si="10"/>
        <v>38.9</v>
      </c>
      <c r="X64" s="245">
        <f t="shared" si="11"/>
        <v>39</v>
      </c>
      <c r="Y64" s="14">
        <f t="shared" si="12"/>
        <v>59</v>
      </c>
    </row>
    <row r="65" spans="20:25" s="241" customFormat="1" ht="12" customHeight="1">
      <c r="T65" s="245">
        <f t="shared" si="7"/>
        <v>39.1</v>
      </c>
      <c r="U65" s="245">
        <f t="shared" si="8"/>
        <v>39.2</v>
      </c>
      <c r="V65" s="245">
        <f t="shared" si="9"/>
        <v>39.3</v>
      </c>
      <c r="W65" s="245">
        <f t="shared" si="10"/>
        <v>39.4</v>
      </c>
      <c r="X65" s="245">
        <f t="shared" si="11"/>
        <v>39.5</v>
      </c>
      <c r="Y65" s="14">
        <f t="shared" si="12"/>
        <v>58</v>
      </c>
    </row>
    <row r="66" spans="20:25" s="241" customFormat="1" ht="12" customHeight="1">
      <c r="T66" s="245">
        <f aca="true" t="shared" si="13" ref="T66:T97">T65+0.5</f>
        <v>39.6</v>
      </c>
      <c r="U66" s="245">
        <f aca="true" t="shared" si="14" ref="U66:U97">U65+0.5</f>
        <v>39.7</v>
      </c>
      <c r="V66" s="245">
        <f aca="true" t="shared" si="15" ref="V66:V97">V65+0.5</f>
        <v>39.8</v>
      </c>
      <c r="W66" s="245">
        <f aca="true" t="shared" si="16" ref="W66:W97">W65+0.5</f>
        <v>39.9</v>
      </c>
      <c r="X66" s="245">
        <f aca="true" t="shared" si="17" ref="X66:X97">X65+0.5</f>
        <v>40</v>
      </c>
      <c r="Y66" s="14">
        <f t="shared" si="12"/>
        <v>57</v>
      </c>
    </row>
    <row r="67" spans="20:25" s="241" customFormat="1" ht="12" customHeight="1">
      <c r="T67" s="245">
        <f t="shared" si="13"/>
        <v>40.1</v>
      </c>
      <c r="U67" s="245">
        <f t="shared" si="14"/>
        <v>40.2</v>
      </c>
      <c r="V67" s="245">
        <f t="shared" si="15"/>
        <v>40.3</v>
      </c>
      <c r="W67" s="245">
        <f t="shared" si="16"/>
        <v>40.4</v>
      </c>
      <c r="X67" s="245">
        <f t="shared" si="17"/>
        <v>40.5</v>
      </c>
      <c r="Y67" s="14">
        <f t="shared" si="12"/>
        <v>56</v>
      </c>
    </row>
    <row r="68" spans="20:25" s="241" customFormat="1" ht="12" customHeight="1">
      <c r="T68" s="245">
        <f t="shared" si="13"/>
        <v>40.6</v>
      </c>
      <c r="U68" s="245">
        <f t="shared" si="14"/>
        <v>40.7</v>
      </c>
      <c r="V68" s="245">
        <f t="shared" si="15"/>
        <v>40.8</v>
      </c>
      <c r="W68" s="245">
        <f t="shared" si="16"/>
        <v>40.9</v>
      </c>
      <c r="X68" s="245">
        <f t="shared" si="17"/>
        <v>41</v>
      </c>
      <c r="Y68" s="14">
        <f t="shared" si="12"/>
        <v>55</v>
      </c>
    </row>
    <row r="69" spans="20:25" s="241" customFormat="1" ht="12" customHeight="1">
      <c r="T69" s="245">
        <f t="shared" si="13"/>
        <v>41.1</v>
      </c>
      <c r="U69" s="245">
        <f t="shared" si="14"/>
        <v>41.2</v>
      </c>
      <c r="V69" s="245">
        <f t="shared" si="15"/>
        <v>41.3</v>
      </c>
      <c r="W69" s="245">
        <f t="shared" si="16"/>
        <v>41.4</v>
      </c>
      <c r="X69" s="245">
        <f t="shared" si="17"/>
        <v>41.5</v>
      </c>
      <c r="Y69" s="14">
        <f t="shared" si="12"/>
        <v>54</v>
      </c>
    </row>
    <row r="70" spans="20:25" s="241" customFormat="1" ht="12" customHeight="1">
      <c r="T70" s="245">
        <f t="shared" si="13"/>
        <v>41.6</v>
      </c>
      <c r="U70" s="245">
        <f t="shared" si="14"/>
        <v>41.7</v>
      </c>
      <c r="V70" s="245">
        <f t="shared" si="15"/>
        <v>41.8</v>
      </c>
      <c r="W70" s="245">
        <f t="shared" si="16"/>
        <v>41.9</v>
      </c>
      <c r="X70" s="245">
        <f t="shared" si="17"/>
        <v>42</v>
      </c>
      <c r="Y70" s="14">
        <f t="shared" si="12"/>
        <v>53</v>
      </c>
    </row>
    <row r="71" spans="20:25" s="241" customFormat="1" ht="12" customHeight="1">
      <c r="T71" s="245">
        <f t="shared" si="13"/>
        <v>42.1</v>
      </c>
      <c r="U71" s="245">
        <f t="shared" si="14"/>
        <v>42.2</v>
      </c>
      <c r="V71" s="245">
        <f t="shared" si="15"/>
        <v>42.3</v>
      </c>
      <c r="W71" s="245">
        <f t="shared" si="16"/>
        <v>42.4</v>
      </c>
      <c r="X71" s="245">
        <f t="shared" si="17"/>
        <v>42.5</v>
      </c>
      <c r="Y71" s="14">
        <f t="shared" si="12"/>
        <v>52</v>
      </c>
    </row>
    <row r="72" spans="20:25" s="241" customFormat="1" ht="12" customHeight="1">
      <c r="T72" s="245">
        <f t="shared" si="13"/>
        <v>42.6</v>
      </c>
      <c r="U72" s="245">
        <f t="shared" si="14"/>
        <v>42.7</v>
      </c>
      <c r="V72" s="245">
        <f t="shared" si="15"/>
        <v>42.8</v>
      </c>
      <c r="W72" s="245">
        <f t="shared" si="16"/>
        <v>42.9</v>
      </c>
      <c r="X72" s="245">
        <f t="shared" si="17"/>
        <v>43</v>
      </c>
      <c r="Y72" s="14">
        <f t="shared" si="12"/>
        <v>51</v>
      </c>
    </row>
    <row r="73" spans="20:25" s="241" customFormat="1" ht="12" customHeight="1">
      <c r="T73" s="245">
        <f t="shared" si="13"/>
        <v>43.1</v>
      </c>
      <c r="U73" s="245">
        <f t="shared" si="14"/>
        <v>43.2</v>
      </c>
      <c r="V73" s="245">
        <f t="shared" si="15"/>
        <v>43.3</v>
      </c>
      <c r="W73" s="245">
        <f t="shared" si="16"/>
        <v>43.4</v>
      </c>
      <c r="X73" s="245">
        <f t="shared" si="17"/>
        <v>43.5</v>
      </c>
      <c r="Y73" s="14">
        <f t="shared" si="12"/>
        <v>50</v>
      </c>
    </row>
    <row r="74" spans="20:25" s="241" customFormat="1" ht="12" customHeight="1">
      <c r="T74" s="245">
        <f t="shared" si="13"/>
        <v>43.6</v>
      </c>
      <c r="U74" s="245">
        <f t="shared" si="14"/>
        <v>43.7</v>
      </c>
      <c r="V74" s="245">
        <f t="shared" si="15"/>
        <v>43.8</v>
      </c>
      <c r="W74" s="245">
        <f t="shared" si="16"/>
        <v>43.9</v>
      </c>
      <c r="X74" s="245">
        <f t="shared" si="17"/>
        <v>44</v>
      </c>
      <c r="Y74" s="14">
        <f t="shared" si="12"/>
        <v>49</v>
      </c>
    </row>
    <row r="75" spans="20:25" s="241" customFormat="1" ht="12" customHeight="1">
      <c r="T75" s="245">
        <f t="shared" si="13"/>
        <v>44.1</v>
      </c>
      <c r="U75" s="245">
        <f t="shared" si="14"/>
        <v>44.2</v>
      </c>
      <c r="V75" s="245">
        <f t="shared" si="15"/>
        <v>44.3</v>
      </c>
      <c r="W75" s="245">
        <f t="shared" si="16"/>
        <v>44.4</v>
      </c>
      <c r="X75" s="245">
        <f t="shared" si="17"/>
        <v>44.5</v>
      </c>
      <c r="Y75" s="14">
        <f t="shared" si="12"/>
        <v>48</v>
      </c>
    </row>
    <row r="76" spans="20:25" s="241" customFormat="1" ht="12" customHeight="1">
      <c r="T76" s="245">
        <f t="shared" si="13"/>
        <v>44.6</v>
      </c>
      <c r="U76" s="245">
        <f t="shared" si="14"/>
        <v>44.7</v>
      </c>
      <c r="V76" s="245">
        <f t="shared" si="15"/>
        <v>44.8</v>
      </c>
      <c r="W76" s="245">
        <f t="shared" si="16"/>
        <v>44.9</v>
      </c>
      <c r="X76" s="245">
        <f t="shared" si="17"/>
        <v>45</v>
      </c>
      <c r="Y76" s="14">
        <f t="shared" si="12"/>
        <v>47</v>
      </c>
    </row>
    <row r="77" spans="20:25" s="241" customFormat="1" ht="12" customHeight="1">
      <c r="T77" s="245">
        <f t="shared" si="13"/>
        <v>45.1</v>
      </c>
      <c r="U77" s="245">
        <f t="shared" si="14"/>
        <v>45.2</v>
      </c>
      <c r="V77" s="245">
        <f t="shared" si="15"/>
        <v>45.3</v>
      </c>
      <c r="W77" s="245">
        <f t="shared" si="16"/>
        <v>45.4</v>
      </c>
      <c r="X77" s="245">
        <f t="shared" si="17"/>
        <v>45.5</v>
      </c>
      <c r="Y77" s="14">
        <f t="shared" si="12"/>
        <v>46</v>
      </c>
    </row>
    <row r="78" spans="20:25" s="241" customFormat="1" ht="12" customHeight="1">
      <c r="T78" s="245">
        <f t="shared" si="13"/>
        <v>45.6</v>
      </c>
      <c r="U78" s="245">
        <f t="shared" si="14"/>
        <v>45.7</v>
      </c>
      <c r="V78" s="245">
        <f t="shared" si="15"/>
        <v>45.8</v>
      </c>
      <c r="W78" s="245">
        <f t="shared" si="16"/>
        <v>45.9</v>
      </c>
      <c r="X78" s="245">
        <f t="shared" si="17"/>
        <v>46</v>
      </c>
      <c r="Y78" s="14">
        <f t="shared" si="12"/>
        <v>45</v>
      </c>
    </row>
    <row r="79" spans="20:25" s="241" customFormat="1" ht="12" customHeight="1">
      <c r="T79" s="245">
        <f t="shared" si="13"/>
        <v>46.1</v>
      </c>
      <c r="U79" s="245">
        <f t="shared" si="14"/>
        <v>46.2</v>
      </c>
      <c r="V79" s="245">
        <f t="shared" si="15"/>
        <v>46.3</v>
      </c>
      <c r="W79" s="245">
        <f t="shared" si="16"/>
        <v>46.4</v>
      </c>
      <c r="X79" s="245">
        <f t="shared" si="17"/>
        <v>46.5</v>
      </c>
      <c r="Y79" s="14">
        <f t="shared" si="12"/>
        <v>44</v>
      </c>
    </row>
    <row r="80" spans="20:25" s="241" customFormat="1" ht="12" customHeight="1">
      <c r="T80" s="245">
        <f t="shared" si="13"/>
        <v>46.6</v>
      </c>
      <c r="U80" s="245">
        <f t="shared" si="14"/>
        <v>46.7</v>
      </c>
      <c r="V80" s="245">
        <f t="shared" si="15"/>
        <v>46.8</v>
      </c>
      <c r="W80" s="245">
        <f t="shared" si="16"/>
        <v>46.9</v>
      </c>
      <c r="X80" s="245">
        <f t="shared" si="17"/>
        <v>47</v>
      </c>
      <c r="Y80" s="14">
        <f t="shared" si="12"/>
        <v>43</v>
      </c>
    </row>
    <row r="81" spans="20:25" s="241" customFormat="1" ht="12" customHeight="1">
      <c r="T81" s="245">
        <f t="shared" si="13"/>
        <v>47.1</v>
      </c>
      <c r="U81" s="245">
        <f t="shared" si="14"/>
        <v>47.2</v>
      </c>
      <c r="V81" s="245">
        <f t="shared" si="15"/>
        <v>47.3</v>
      </c>
      <c r="W81" s="245">
        <f t="shared" si="16"/>
        <v>47.4</v>
      </c>
      <c r="X81" s="245">
        <f t="shared" si="17"/>
        <v>47.5</v>
      </c>
      <c r="Y81" s="14">
        <f t="shared" si="12"/>
        <v>42</v>
      </c>
    </row>
    <row r="82" spans="20:25" s="241" customFormat="1" ht="12" customHeight="1">
      <c r="T82" s="245">
        <f t="shared" si="13"/>
        <v>47.6</v>
      </c>
      <c r="U82" s="245">
        <f t="shared" si="14"/>
        <v>47.7</v>
      </c>
      <c r="V82" s="245">
        <f t="shared" si="15"/>
        <v>47.8</v>
      </c>
      <c r="W82" s="245">
        <f t="shared" si="16"/>
        <v>47.9</v>
      </c>
      <c r="X82" s="245">
        <f t="shared" si="17"/>
        <v>48</v>
      </c>
      <c r="Y82" s="14">
        <f t="shared" si="12"/>
        <v>41</v>
      </c>
    </row>
    <row r="83" spans="20:25" s="241" customFormat="1" ht="12" customHeight="1">
      <c r="T83" s="245">
        <f t="shared" si="13"/>
        <v>48.1</v>
      </c>
      <c r="U83" s="245">
        <f t="shared" si="14"/>
        <v>48.2</v>
      </c>
      <c r="V83" s="245">
        <f t="shared" si="15"/>
        <v>48.3</v>
      </c>
      <c r="W83" s="245">
        <f t="shared" si="16"/>
        <v>48.4</v>
      </c>
      <c r="X83" s="245">
        <f t="shared" si="17"/>
        <v>48.5</v>
      </c>
      <c r="Y83" s="14">
        <f t="shared" si="12"/>
        <v>40</v>
      </c>
    </row>
    <row r="84" spans="20:25" s="241" customFormat="1" ht="12" customHeight="1">
      <c r="T84" s="245">
        <f t="shared" si="13"/>
        <v>48.6</v>
      </c>
      <c r="U84" s="245">
        <f t="shared" si="14"/>
        <v>48.7</v>
      </c>
      <c r="V84" s="245">
        <f t="shared" si="15"/>
        <v>48.8</v>
      </c>
      <c r="W84" s="245">
        <f t="shared" si="16"/>
        <v>48.9</v>
      </c>
      <c r="X84" s="245">
        <f t="shared" si="17"/>
        <v>49</v>
      </c>
      <c r="Y84" s="14">
        <f t="shared" si="12"/>
        <v>39</v>
      </c>
    </row>
    <row r="85" spans="20:25" s="241" customFormat="1" ht="12" customHeight="1">
      <c r="T85" s="245">
        <f t="shared" si="13"/>
        <v>49.1</v>
      </c>
      <c r="U85" s="245">
        <f t="shared" si="14"/>
        <v>49.2</v>
      </c>
      <c r="V85" s="245">
        <f t="shared" si="15"/>
        <v>49.3</v>
      </c>
      <c r="W85" s="245">
        <f t="shared" si="16"/>
        <v>49.4</v>
      </c>
      <c r="X85" s="245">
        <f t="shared" si="17"/>
        <v>49.5</v>
      </c>
      <c r="Y85" s="14">
        <f t="shared" si="12"/>
        <v>38</v>
      </c>
    </row>
    <row r="86" spans="20:25" s="241" customFormat="1" ht="12" customHeight="1">
      <c r="T86" s="245">
        <f t="shared" si="13"/>
        <v>49.6</v>
      </c>
      <c r="U86" s="245">
        <f t="shared" si="14"/>
        <v>49.7</v>
      </c>
      <c r="V86" s="245">
        <f t="shared" si="15"/>
        <v>49.8</v>
      </c>
      <c r="W86" s="245">
        <f t="shared" si="16"/>
        <v>49.9</v>
      </c>
      <c r="X86" s="245">
        <f t="shared" si="17"/>
        <v>50</v>
      </c>
      <c r="Y86" s="14">
        <f t="shared" si="12"/>
        <v>37</v>
      </c>
    </row>
    <row r="87" spans="20:25" s="241" customFormat="1" ht="12" customHeight="1">
      <c r="T87" s="245">
        <f t="shared" si="13"/>
        <v>50.1</v>
      </c>
      <c r="U87" s="245">
        <f t="shared" si="14"/>
        <v>50.2</v>
      </c>
      <c r="V87" s="245">
        <f t="shared" si="15"/>
        <v>50.3</v>
      </c>
      <c r="W87" s="245">
        <f t="shared" si="16"/>
        <v>50.4</v>
      </c>
      <c r="X87" s="245">
        <f t="shared" si="17"/>
        <v>50.5</v>
      </c>
      <c r="Y87" s="14">
        <f t="shared" si="12"/>
        <v>36</v>
      </c>
    </row>
    <row r="88" spans="20:25" s="241" customFormat="1" ht="12" customHeight="1">
      <c r="T88" s="245">
        <f t="shared" si="13"/>
        <v>50.6</v>
      </c>
      <c r="U88" s="245">
        <f t="shared" si="14"/>
        <v>50.7</v>
      </c>
      <c r="V88" s="245">
        <f t="shared" si="15"/>
        <v>50.8</v>
      </c>
      <c r="W88" s="245">
        <f t="shared" si="16"/>
        <v>50.9</v>
      </c>
      <c r="X88" s="245">
        <f t="shared" si="17"/>
        <v>51</v>
      </c>
      <c r="Y88" s="14">
        <f aca="true" t="shared" si="18" ref="Y88:Y123">Y87-1</f>
        <v>35</v>
      </c>
    </row>
    <row r="89" spans="20:25" s="241" customFormat="1" ht="12" customHeight="1">
      <c r="T89" s="245">
        <f t="shared" si="13"/>
        <v>51.1</v>
      </c>
      <c r="U89" s="245">
        <f t="shared" si="14"/>
        <v>51.2</v>
      </c>
      <c r="V89" s="245">
        <f t="shared" si="15"/>
        <v>51.3</v>
      </c>
      <c r="W89" s="245">
        <f t="shared" si="16"/>
        <v>51.4</v>
      </c>
      <c r="X89" s="245">
        <f t="shared" si="17"/>
        <v>51.5</v>
      </c>
      <c r="Y89" s="14">
        <f t="shared" si="18"/>
        <v>34</v>
      </c>
    </row>
    <row r="90" spans="20:25" s="241" customFormat="1" ht="12" customHeight="1">
      <c r="T90" s="245">
        <f t="shared" si="13"/>
        <v>51.6</v>
      </c>
      <c r="U90" s="245">
        <f t="shared" si="14"/>
        <v>51.7</v>
      </c>
      <c r="V90" s="245">
        <f t="shared" si="15"/>
        <v>51.8</v>
      </c>
      <c r="W90" s="245">
        <f t="shared" si="16"/>
        <v>51.9</v>
      </c>
      <c r="X90" s="245">
        <f t="shared" si="17"/>
        <v>52</v>
      </c>
      <c r="Y90" s="14">
        <f t="shared" si="18"/>
        <v>33</v>
      </c>
    </row>
    <row r="91" spans="20:25" s="241" customFormat="1" ht="12" customHeight="1">
      <c r="T91" s="245">
        <f t="shared" si="13"/>
        <v>52.1</v>
      </c>
      <c r="U91" s="245">
        <f t="shared" si="14"/>
        <v>52.2</v>
      </c>
      <c r="V91" s="245">
        <f t="shared" si="15"/>
        <v>52.3</v>
      </c>
      <c r="W91" s="245">
        <f t="shared" si="16"/>
        <v>52.4</v>
      </c>
      <c r="X91" s="245">
        <f t="shared" si="17"/>
        <v>52.5</v>
      </c>
      <c r="Y91" s="14">
        <f t="shared" si="18"/>
        <v>32</v>
      </c>
    </row>
    <row r="92" spans="20:25" s="241" customFormat="1" ht="12" customHeight="1">
      <c r="T92" s="245">
        <f t="shared" si="13"/>
        <v>52.6</v>
      </c>
      <c r="U92" s="245">
        <f t="shared" si="14"/>
        <v>52.7</v>
      </c>
      <c r="V92" s="245">
        <f t="shared" si="15"/>
        <v>52.8</v>
      </c>
      <c r="W92" s="245">
        <f t="shared" si="16"/>
        <v>52.9</v>
      </c>
      <c r="X92" s="245">
        <f t="shared" si="17"/>
        <v>53</v>
      </c>
      <c r="Y92" s="14">
        <f t="shared" si="18"/>
        <v>31</v>
      </c>
    </row>
    <row r="93" spans="20:25" s="241" customFormat="1" ht="12" customHeight="1">
      <c r="T93" s="245">
        <f t="shared" si="13"/>
        <v>53.1</v>
      </c>
      <c r="U93" s="245">
        <f t="shared" si="14"/>
        <v>53.2</v>
      </c>
      <c r="V93" s="245">
        <f t="shared" si="15"/>
        <v>53.3</v>
      </c>
      <c r="W93" s="245">
        <f t="shared" si="16"/>
        <v>53.4</v>
      </c>
      <c r="X93" s="245">
        <f t="shared" si="17"/>
        <v>53.5</v>
      </c>
      <c r="Y93" s="14">
        <f t="shared" si="18"/>
        <v>30</v>
      </c>
    </row>
    <row r="94" spans="20:25" s="241" customFormat="1" ht="12" customHeight="1">
      <c r="T94" s="245">
        <f t="shared" si="13"/>
        <v>53.6</v>
      </c>
      <c r="U94" s="245">
        <f t="shared" si="14"/>
        <v>53.7</v>
      </c>
      <c r="V94" s="245">
        <f t="shared" si="15"/>
        <v>53.8</v>
      </c>
      <c r="W94" s="245">
        <f t="shared" si="16"/>
        <v>53.9</v>
      </c>
      <c r="X94" s="245">
        <f t="shared" si="17"/>
        <v>54</v>
      </c>
      <c r="Y94" s="14">
        <f t="shared" si="18"/>
        <v>29</v>
      </c>
    </row>
    <row r="95" spans="20:25" s="241" customFormat="1" ht="12" customHeight="1">
      <c r="T95" s="245">
        <f t="shared" si="13"/>
        <v>54.1</v>
      </c>
      <c r="U95" s="245">
        <f t="shared" si="14"/>
        <v>54.2</v>
      </c>
      <c r="V95" s="245">
        <f t="shared" si="15"/>
        <v>54.3</v>
      </c>
      <c r="W95" s="245">
        <f t="shared" si="16"/>
        <v>54.4</v>
      </c>
      <c r="X95" s="245">
        <f t="shared" si="17"/>
        <v>54.5</v>
      </c>
      <c r="Y95" s="14">
        <f t="shared" si="18"/>
        <v>28</v>
      </c>
    </row>
    <row r="96" spans="20:25" s="241" customFormat="1" ht="12" customHeight="1">
      <c r="T96" s="245">
        <f t="shared" si="13"/>
        <v>54.6</v>
      </c>
      <c r="U96" s="245">
        <f t="shared" si="14"/>
        <v>54.7</v>
      </c>
      <c r="V96" s="245">
        <f t="shared" si="15"/>
        <v>54.8</v>
      </c>
      <c r="W96" s="245">
        <f t="shared" si="16"/>
        <v>54.9</v>
      </c>
      <c r="X96" s="245">
        <f t="shared" si="17"/>
        <v>55</v>
      </c>
      <c r="Y96" s="14">
        <f t="shared" si="18"/>
        <v>27</v>
      </c>
    </row>
    <row r="97" spans="20:25" s="241" customFormat="1" ht="12" customHeight="1">
      <c r="T97" s="245">
        <f t="shared" si="13"/>
        <v>55.1</v>
      </c>
      <c r="U97" s="245">
        <f t="shared" si="14"/>
        <v>55.2</v>
      </c>
      <c r="V97" s="245">
        <f t="shared" si="15"/>
        <v>55.3</v>
      </c>
      <c r="W97" s="245">
        <f t="shared" si="16"/>
        <v>55.4</v>
      </c>
      <c r="X97" s="245">
        <f t="shared" si="17"/>
        <v>55.5</v>
      </c>
      <c r="Y97" s="14">
        <f t="shared" si="18"/>
        <v>26</v>
      </c>
    </row>
    <row r="98" spans="20:25" s="241" customFormat="1" ht="12" customHeight="1">
      <c r="T98" s="245">
        <f aca="true" t="shared" si="19" ref="T98:T122">T97+0.5</f>
        <v>55.6</v>
      </c>
      <c r="U98" s="245">
        <f aca="true" t="shared" si="20" ref="U98:U122">U97+0.5</f>
        <v>55.7</v>
      </c>
      <c r="V98" s="245">
        <f aca="true" t="shared" si="21" ref="V98:V122">V97+0.5</f>
        <v>55.8</v>
      </c>
      <c r="W98" s="245">
        <f aca="true" t="shared" si="22" ref="W98:W122">W97+0.5</f>
        <v>55.9</v>
      </c>
      <c r="X98" s="245">
        <f aca="true" t="shared" si="23" ref="X98:X122">X97+0.5</f>
        <v>56</v>
      </c>
      <c r="Y98" s="14">
        <f t="shared" si="18"/>
        <v>25</v>
      </c>
    </row>
    <row r="99" spans="20:25" s="241" customFormat="1" ht="12" customHeight="1">
      <c r="T99" s="245">
        <f t="shared" si="19"/>
        <v>56.1</v>
      </c>
      <c r="U99" s="245">
        <f t="shared" si="20"/>
        <v>56.2</v>
      </c>
      <c r="V99" s="245">
        <f t="shared" si="21"/>
        <v>56.3</v>
      </c>
      <c r="W99" s="245">
        <f t="shared" si="22"/>
        <v>56.4</v>
      </c>
      <c r="X99" s="245">
        <f t="shared" si="23"/>
        <v>56.5</v>
      </c>
      <c r="Y99" s="14">
        <f t="shared" si="18"/>
        <v>24</v>
      </c>
    </row>
    <row r="100" spans="20:25" s="241" customFormat="1" ht="12" customHeight="1">
      <c r="T100" s="245">
        <f t="shared" si="19"/>
        <v>56.6</v>
      </c>
      <c r="U100" s="245">
        <f t="shared" si="20"/>
        <v>56.7</v>
      </c>
      <c r="V100" s="245">
        <f t="shared" si="21"/>
        <v>56.8</v>
      </c>
      <c r="W100" s="245">
        <f t="shared" si="22"/>
        <v>56.9</v>
      </c>
      <c r="X100" s="245">
        <f t="shared" si="23"/>
        <v>57</v>
      </c>
      <c r="Y100" s="14">
        <f t="shared" si="18"/>
        <v>23</v>
      </c>
    </row>
    <row r="101" spans="20:25" s="241" customFormat="1" ht="12" customHeight="1">
      <c r="T101" s="245">
        <f t="shared" si="19"/>
        <v>57.1</v>
      </c>
      <c r="U101" s="245">
        <f t="shared" si="20"/>
        <v>57.2</v>
      </c>
      <c r="V101" s="245">
        <f t="shared" si="21"/>
        <v>57.3</v>
      </c>
      <c r="W101" s="245">
        <f t="shared" si="22"/>
        <v>57.4</v>
      </c>
      <c r="X101" s="245">
        <f t="shared" si="23"/>
        <v>57.5</v>
      </c>
      <c r="Y101" s="14">
        <f t="shared" si="18"/>
        <v>22</v>
      </c>
    </row>
    <row r="102" spans="20:25" s="241" customFormat="1" ht="12" customHeight="1">
      <c r="T102" s="245">
        <f t="shared" si="19"/>
        <v>57.6</v>
      </c>
      <c r="U102" s="245">
        <f t="shared" si="20"/>
        <v>57.7</v>
      </c>
      <c r="V102" s="245">
        <f t="shared" si="21"/>
        <v>57.8</v>
      </c>
      <c r="W102" s="245">
        <f t="shared" si="22"/>
        <v>57.9</v>
      </c>
      <c r="X102" s="245">
        <f t="shared" si="23"/>
        <v>58</v>
      </c>
      <c r="Y102" s="14">
        <f t="shared" si="18"/>
        <v>21</v>
      </c>
    </row>
    <row r="103" spans="20:25" s="241" customFormat="1" ht="12" customHeight="1">
      <c r="T103" s="245">
        <f t="shared" si="19"/>
        <v>58.1</v>
      </c>
      <c r="U103" s="245">
        <f t="shared" si="20"/>
        <v>58.2</v>
      </c>
      <c r="V103" s="245">
        <f t="shared" si="21"/>
        <v>58.3</v>
      </c>
      <c r="W103" s="245">
        <f t="shared" si="22"/>
        <v>58.4</v>
      </c>
      <c r="X103" s="245">
        <f t="shared" si="23"/>
        <v>58.5</v>
      </c>
      <c r="Y103" s="14">
        <f t="shared" si="18"/>
        <v>20</v>
      </c>
    </row>
    <row r="104" spans="20:25" s="241" customFormat="1" ht="12" customHeight="1">
      <c r="T104" s="245">
        <f t="shared" si="19"/>
        <v>58.6</v>
      </c>
      <c r="U104" s="245">
        <f t="shared" si="20"/>
        <v>58.7</v>
      </c>
      <c r="V104" s="245">
        <f t="shared" si="21"/>
        <v>58.8</v>
      </c>
      <c r="W104" s="245">
        <f t="shared" si="22"/>
        <v>58.9</v>
      </c>
      <c r="X104" s="245">
        <f t="shared" si="23"/>
        <v>59</v>
      </c>
      <c r="Y104" s="14">
        <f t="shared" si="18"/>
        <v>19</v>
      </c>
    </row>
    <row r="105" spans="20:25" s="241" customFormat="1" ht="12" customHeight="1">
      <c r="T105" s="245">
        <f t="shared" si="19"/>
        <v>59.1</v>
      </c>
      <c r="U105" s="245">
        <f t="shared" si="20"/>
        <v>59.2</v>
      </c>
      <c r="V105" s="245">
        <f t="shared" si="21"/>
        <v>59.3</v>
      </c>
      <c r="W105" s="245">
        <f t="shared" si="22"/>
        <v>59.4</v>
      </c>
      <c r="X105" s="245">
        <f t="shared" si="23"/>
        <v>59.5</v>
      </c>
      <c r="Y105" s="14">
        <f t="shared" si="18"/>
        <v>18</v>
      </c>
    </row>
    <row r="106" spans="20:25" s="241" customFormat="1" ht="12" customHeight="1">
      <c r="T106" s="245">
        <f t="shared" si="19"/>
        <v>59.6</v>
      </c>
      <c r="U106" s="245">
        <f t="shared" si="20"/>
        <v>59.7</v>
      </c>
      <c r="V106" s="245">
        <f t="shared" si="21"/>
        <v>59.8</v>
      </c>
      <c r="W106" s="245">
        <f t="shared" si="22"/>
        <v>59.9</v>
      </c>
      <c r="X106" s="245">
        <f t="shared" si="23"/>
        <v>60</v>
      </c>
      <c r="Y106" s="14">
        <f t="shared" si="18"/>
        <v>17</v>
      </c>
    </row>
    <row r="107" spans="20:25" s="241" customFormat="1" ht="12" customHeight="1">
      <c r="T107" s="245">
        <f t="shared" si="19"/>
        <v>60.1</v>
      </c>
      <c r="U107" s="245">
        <f t="shared" si="20"/>
        <v>60.2</v>
      </c>
      <c r="V107" s="245">
        <f t="shared" si="21"/>
        <v>60.3</v>
      </c>
      <c r="W107" s="245">
        <f t="shared" si="22"/>
        <v>60.4</v>
      </c>
      <c r="X107" s="245">
        <f t="shared" si="23"/>
        <v>60.5</v>
      </c>
      <c r="Y107" s="14">
        <f t="shared" si="18"/>
        <v>16</v>
      </c>
    </row>
    <row r="108" spans="20:25" s="241" customFormat="1" ht="12" customHeight="1">
      <c r="T108" s="245">
        <f t="shared" si="19"/>
        <v>60.6</v>
      </c>
      <c r="U108" s="245">
        <f t="shared" si="20"/>
        <v>60.7</v>
      </c>
      <c r="V108" s="245">
        <f t="shared" si="21"/>
        <v>60.8</v>
      </c>
      <c r="W108" s="245">
        <f t="shared" si="22"/>
        <v>60.9</v>
      </c>
      <c r="X108" s="245">
        <f t="shared" si="23"/>
        <v>61</v>
      </c>
      <c r="Y108" s="14">
        <f t="shared" si="18"/>
        <v>15</v>
      </c>
    </row>
    <row r="109" spans="20:25" s="241" customFormat="1" ht="12" customHeight="1">
      <c r="T109" s="245">
        <f t="shared" si="19"/>
        <v>61.1</v>
      </c>
      <c r="U109" s="245">
        <f t="shared" si="20"/>
        <v>61.2</v>
      </c>
      <c r="V109" s="245">
        <f t="shared" si="21"/>
        <v>61.3</v>
      </c>
      <c r="W109" s="245">
        <f t="shared" si="22"/>
        <v>61.4</v>
      </c>
      <c r="X109" s="245">
        <f t="shared" si="23"/>
        <v>61.5</v>
      </c>
      <c r="Y109" s="14">
        <f t="shared" si="18"/>
        <v>14</v>
      </c>
    </row>
    <row r="110" spans="20:25" s="241" customFormat="1" ht="12" customHeight="1">
      <c r="T110" s="245">
        <f t="shared" si="19"/>
        <v>61.6</v>
      </c>
      <c r="U110" s="245">
        <f t="shared" si="20"/>
        <v>61.7</v>
      </c>
      <c r="V110" s="245">
        <f t="shared" si="21"/>
        <v>61.8</v>
      </c>
      <c r="W110" s="245">
        <f t="shared" si="22"/>
        <v>61.9</v>
      </c>
      <c r="X110" s="245">
        <f t="shared" si="23"/>
        <v>62</v>
      </c>
      <c r="Y110" s="14">
        <f t="shared" si="18"/>
        <v>13</v>
      </c>
    </row>
    <row r="111" spans="20:25" s="241" customFormat="1" ht="12" customHeight="1">
      <c r="T111" s="245">
        <f t="shared" si="19"/>
        <v>62.1</v>
      </c>
      <c r="U111" s="245">
        <f t="shared" si="20"/>
        <v>62.2</v>
      </c>
      <c r="V111" s="245">
        <f t="shared" si="21"/>
        <v>62.3</v>
      </c>
      <c r="W111" s="245">
        <f t="shared" si="22"/>
        <v>62.4</v>
      </c>
      <c r="X111" s="245">
        <f t="shared" si="23"/>
        <v>62.5</v>
      </c>
      <c r="Y111" s="14">
        <f t="shared" si="18"/>
        <v>12</v>
      </c>
    </row>
    <row r="112" spans="20:25" s="241" customFormat="1" ht="12" customHeight="1">
      <c r="T112" s="245">
        <f t="shared" si="19"/>
        <v>62.6</v>
      </c>
      <c r="U112" s="245">
        <f t="shared" si="20"/>
        <v>62.7</v>
      </c>
      <c r="V112" s="245">
        <f t="shared" si="21"/>
        <v>62.8</v>
      </c>
      <c r="W112" s="245">
        <f t="shared" si="22"/>
        <v>62.9</v>
      </c>
      <c r="X112" s="245">
        <f t="shared" si="23"/>
        <v>63</v>
      </c>
      <c r="Y112" s="14">
        <f t="shared" si="18"/>
        <v>11</v>
      </c>
    </row>
    <row r="113" spans="20:25" s="241" customFormat="1" ht="12" customHeight="1">
      <c r="T113" s="245">
        <f t="shared" si="19"/>
        <v>63.1</v>
      </c>
      <c r="U113" s="245">
        <f t="shared" si="20"/>
        <v>63.2</v>
      </c>
      <c r="V113" s="245">
        <f t="shared" si="21"/>
        <v>63.3</v>
      </c>
      <c r="W113" s="245">
        <f t="shared" si="22"/>
        <v>63.4</v>
      </c>
      <c r="X113" s="245">
        <f t="shared" si="23"/>
        <v>63.5</v>
      </c>
      <c r="Y113" s="14">
        <f t="shared" si="18"/>
        <v>10</v>
      </c>
    </row>
    <row r="114" spans="20:25" s="241" customFormat="1" ht="12" customHeight="1">
      <c r="T114" s="245">
        <f t="shared" si="19"/>
        <v>63.6</v>
      </c>
      <c r="U114" s="245">
        <f t="shared" si="20"/>
        <v>63.7</v>
      </c>
      <c r="V114" s="245">
        <f t="shared" si="21"/>
        <v>63.8</v>
      </c>
      <c r="W114" s="245">
        <f t="shared" si="22"/>
        <v>63.9</v>
      </c>
      <c r="X114" s="245">
        <f t="shared" si="23"/>
        <v>64</v>
      </c>
      <c r="Y114" s="14">
        <f t="shared" si="18"/>
        <v>9</v>
      </c>
    </row>
    <row r="115" spans="20:25" s="241" customFormat="1" ht="12" customHeight="1">
      <c r="T115" s="245">
        <f t="shared" si="19"/>
        <v>64.1</v>
      </c>
      <c r="U115" s="245">
        <f t="shared" si="20"/>
        <v>64.2</v>
      </c>
      <c r="V115" s="245">
        <f t="shared" si="21"/>
        <v>64.3</v>
      </c>
      <c r="W115" s="245">
        <f t="shared" si="22"/>
        <v>64.4</v>
      </c>
      <c r="X115" s="245">
        <f t="shared" si="23"/>
        <v>64.5</v>
      </c>
      <c r="Y115" s="14">
        <f t="shared" si="18"/>
        <v>8</v>
      </c>
    </row>
    <row r="116" spans="20:25" s="241" customFormat="1" ht="12" customHeight="1">
      <c r="T116" s="245">
        <f t="shared" si="19"/>
        <v>64.6</v>
      </c>
      <c r="U116" s="245">
        <f t="shared" si="20"/>
        <v>64.7</v>
      </c>
      <c r="V116" s="245">
        <f t="shared" si="21"/>
        <v>64.8</v>
      </c>
      <c r="W116" s="245">
        <f t="shared" si="22"/>
        <v>64.9</v>
      </c>
      <c r="X116" s="245">
        <f t="shared" si="23"/>
        <v>65</v>
      </c>
      <c r="Y116" s="14">
        <f t="shared" si="18"/>
        <v>7</v>
      </c>
    </row>
    <row r="117" spans="20:25" s="241" customFormat="1" ht="12" customHeight="1">
      <c r="T117" s="245">
        <f t="shared" si="19"/>
        <v>65.1</v>
      </c>
      <c r="U117" s="245">
        <f t="shared" si="20"/>
        <v>65.2</v>
      </c>
      <c r="V117" s="245">
        <f t="shared" si="21"/>
        <v>65.3</v>
      </c>
      <c r="W117" s="245">
        <f t="shared" si="22"/>
        <v>65.4</v>
      </c>
      <c r="X117" s="245">
        <f t="shared" si="23"/>
        <v>65.5</v>
      </c>
      <c r="Y117" s="14">
        <f t="shared" si="18"/>
        <v>6</v>
      </c>
    </row>
    <row r="118" spans="20:25" s="241" customFormat="1" ht="12" customHeight="1">
      <c r="T118" s="245">
        <f t="shared" si="19"/>
        <v>65.6</v>
      </c>
      <c r="U118" s="245">
        <f t="shared" si="20"/>
        <v>65.7</v>
      </c>
      <c r="V118" s="245">
        <f t="shared" si="21"/>
        <v>65.8</v>
      </c>
      <c r="W118" s="245">
        <f t="shared" si="22"/>
        <v>65.9</v>
      </c>
      <c r="X118" s="245">
        <f t="shared" si="23"/>
        <v>66</v>
      </c>
      <c r="Y118" s="14">
        <f t="shared" si="18"/>
        <v>5</v>
      </c>
    </row>
    <row r="119" spans="20:25" s="241" customFormat="1" ht="12" customHeight="1">
      <c r="T119" s="245">
        <f t="shared" si="19"/>
        <v>66.1</v>
      </c>
      <c r="U119" s="245">
        <f t="shared" si="20"/>
        <v>66.2</v>
      </c>
      <c r="V119" s="245">
        <f t="shared" si="21"/>
        <v>66.3</v>
      </c>
      <c r="W119" s="245">
        <f t="shared" si="22"/>
        <v>66.4</v>
      </c>
      <c r="X119" s="245">
        <f t="shared" si="23"/>
        <v>66.5</v>
      </c>
      <c r="Y119" s="14">
        <f t="shared" si="18"/>
        <v>4</v>
      </c>
    </row>
    <row r="120" spans="20:25" s="241" customFormat="1" ht="12" customHeight="1">
      <c r="T120" s="245">
        <f t="shared" si="19"/>
        <v>66.6</v>
      </c>
      <c r="U120" s="245">
        <f t="shared" si="20"/>
        <v>66.7</v>
      </c>
      <c r="V120" s="245">
        <f t="shared" si="21"/>
        <v>66.8</v>
      </c>
      <c r="W120" s="245">
        <f t="shared" si="22"/>
        <v>66.9</v>
      </c>
      <c r="X120" s="245">
        <f t="shared" si="23"/>
        <v>67</v>
      </c>
      <c r="Y120" s="14">
        <f t="shared" si="18"/>
        <v>3</v>
      </c>
    </row>
    <row r="121" spans="20:25" s="241" customFormat="1" ht="12" customHeight="1">
      <c r="T121" s="245">
        <f t="shared" si="19"/>
        <v>67.1</v>
      </c>
      <c r="U121" s="245">
        <f t="shared" si="20"/>
        <v>67.2</v>
      </c>
      <c r="V121" s="245">
        <f t="shared" si="21"/>
        <v>67.3</v>
      </c>
      <c r="W121" s="245">
        <f t="shared" si="22"/>
        <v>67.4</v>
      </c>
      <c r="X121" s="245">
        <f t="shared" si="23"/>
        <v>67.5</v>
      </c>
      <c r="Y121" s="14">
        <f t="shared" si="18"/>
        <v>2</v>
      </c>
    </row>
    <row r="122" spans="20:25" s="241" customFormat="1" ht="12" customHeight="1">
      <c r="T122" s="245">
        <f t="shared" si="19"/>
        <v>67.6</v>
      </c>
      <c r="U122" s="245">
        <f t="shared" si="20"/>
        <v>67.7</v>
      </c>
      <c r="V122" s="245">
        <f t="shared" si="21"/>
        <v>67.8</v>
      </c>
      <c r="W122" s="245">
        <f t="shared" si="22"/>
        <v>67.9</v>
      </c>
      <c r="X122" s="245">
        <f t="shared" si="23"/>
        <v>68</v>
      </c>
      <c r="Y122" s="14">
        <f t="shared" si="18"/>
        <v>1</v>
      </c>
    </row>
    <row r="123" spans="20:25" s="241" customFormat="1" ht="12" customHeight="1">
      <c r="T123" s="14">
        <v>68.1</v>
      </c>
      <c r="Y123" s="14">
        <f t="shared" si="18"/>
        <v>0</v>
      </c>
    </row>
  </sheetData>
  <sheetProtection password="E074" sheet="1" objects="1" scenarios="1"/>
  <mergeCells count="38">
    <mergeCell ref="B17:F17"/>
    <mergeCell ref="P8:Q8"/>
    <mergeCell ref="B14:F14"/>
    <mergeCell ref="G17:H17"/>
    <mergeCell ref="B15:F15"/>
    <mergeCell ref="B13:F13"/>
    <mergeCell ref="B16:F16"/>
    <mergeCell ref="G14:H14"/>
    <mergeCell ref="B12:F12"/>
    <mergeCell ref="G13:H13"/>
    <mergeCell ref="A1:H2"/>
    <mergeCell ref="I19:M19"/>
    <mergeCell ref="N4:Q5"/>
    <mergeCell ref="G10:H10"/>
    <mergeCell ref="I18:M18"/>
    <mergeCell ref="G12:H12"/>
    <mergeCell ref="B10:F10"/>
    <mergeCell ref="I1:Q2"/>
    <mergeCell ref="G9:H9"/>
    <mergeCell ref="K3:Q3"/>
    <mergeCell ref="P18:Q18"/>
    <mergeCell ref="H3:J3"/>
    <mergeCell ref="M4:M5"/>
    <mergeCell ref="N19:Q19"/>
    <mergeCell ref="N18:O18"/>
    <mergeCell ref="P7:Q7"/>
    <mergeCell ref="I6:L6"/>
    <mergeCell ref="I8:L8"/>
    <mergeCell ref="B11:F11"/>
    <mergeCell ref="F8:G8"/>
    <mergeCell ref="N6:Q6"/>
    <mergeCell ref="C3:G3"/>
    <mergeCell ref="G11:H11"/>
    <mergeCell ref="N7:O7"/>
    <mergeCell ref="B8:E8"/>
    <mergeCell ref="I4:L5"/>
    <mergeCell ref="A3:B3"/>
    <mergeCell ref="B9:F9"/>
  </mergeCells>
  <printOptions/>
  <pageMargins left="0.7875" right="0.354861" top="0.577083" bottom="0.576389" header="0.511806" footer="0.511806"/>
  <pageSetup horizontalDpi="600" verticalDpi="600" orientation="portrait" scale="77"/>
  <headerFooter alignWithMargins="0"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Skarupa.ferenc</cp:lastModifiedBy>
  <cp:lastPrinted>2017-05-25T16:31:51Z</cp:lastPrinted>
  <dcterms:created xsi:type="dcterms:W3CDTF">2017-05-24T09:38:41Z</dcterms:created>
  <dcterms:modified xsi:type="dcterms:W3CDTF">2017-05-30T14:25:39Z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